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g"/>
  <Default Extension="tiff" ContentType="image/tiff"/>
  <Default Extension="jpeg" ContentType="image/jpeg"/>
  <Default Extension="png" ContentType="image/png"/>
  <Default Extension="bmp" ContentType="image/bmp"/>
  <Default Extension="gif" ContentType="image/gif"/>
  <Default Extension="svg" ContentType="image/svg+xml"/>
  <Default Extension="emf" ContentType="image/x-emf"/>
  <Default Extension="wmf" ContentType="image/x-wmf"/>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worksheets/sheet10.xml" ContentType="application/vnd.openxmlformats-officedocument.spreadsheetml.worksheet+xml"/>
  <Override PartName="/xl/worksheets/sheet1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bookViews>
    <workbookView activeTab="10" tabRatio="500"/>
  </bookViews>
  <sheets>
    <sheet r:id="rId1" name="Cover_Page" sheetId="1"/>
    <sheet r:id="rId2" name="Project_Info" sheetId="2"/>
    <sheet r:id="rId3" name="Market_Rates" sheetId="3"/>
    <sheet r:id="rId4" name="BOQ" sheetId="4"/>
    <sheet r:id="rId5" name="Quantity_Takeoff" sheetId="5"/>
    <sheet r:id="rId6" name="Rate_Analysis" sheetId="6"/>
    <sheet r:id="rId7" name="BBS" sheetId="7"/>
    <sheet r:id="rId8" name="Abstract" sheetId="8"/>
    <sheet r:id="rId9" name="Dashboard" sheetId="9"/>
    <sheet r:id="rId10" name="Terms_Conditions" sheetId="10"/>
    <sheet r:id="rId11" name="Revision_History" sheetId="11"/>
  </sheets>
  <calcPr calcId="0" iterate="1" iterateCount="1000" iterateDelta="0.01"/>
</workbook>
</file>

<file path=xl/sharedStrings.xml><?xml version="1.0" encoding="utf-8"?>
<sst xmlns="http://schemas.openxmlformats.org/spreadsheetml/2006/main" count="1279" uniqueCount="1279">
  <si>
    <t>CONSTRUCTION ESTIMATOR INDIA</t>
  </si>
  <si>
    <t>Accurate Estimates | Smart Solutions</t>
  </si>
  <si>
    <t>CIVIL WORKS - CONSTRUCTION COST ESTIMATE TEMPLATE</t>
  </si>
  <si>
    <t>[INSERT COMPANY LOGO HERE]</t>
  </si>
  <si>
    <t>Company Name:</t>
  </si>
  <si>
    <t>Construction Estimator India</t>
  </si>
  <si>
    <t>Location:</t>
  </si>
  <si>
    <t>Lucknow, Uttar Pradesh, India</t>
  </si>
  <si>
    <t>GSTIN:</t>
  </si>
  <si>
    <t>09AAAAA0000A1Z5 [Update]</t>
  </si>
  <si>
    <t>PAN:</t>
  </si>
  <si>
    <t>AAAAA0000A [Update]</t>
  </si>
  <si>
    <t>Website:</t>
  </si>
  <si>
    <t>www.constructionestimatorindia.com</t>
  </si>
  <si>
    <t>PROJECT DETAILS</t>
  </si>
  <si>
    <t>Project Name:</t>
  </si>
  <si>
    <t>Residential Building - 2BHK House</t>
  </si>
  <si>
    <t>Client Name:</t>
  </si>
  <si>
    <t>Mr. Rajesh Kumar Sharma</t>
  </si>
  <si>
    <t>Project Location:</t>
  </si>
  <si>
    <t>Plot No. 123, Sector 5, Lucknow, UP</t>
  </si>
  <si>
    <t>Built-up Area:</t>
  </si>
  <si>
    <t>1,800 Sq.ft. (167.23 Sq.m.)</t>
  </si>
  <si>
    <t>Plot Area:</t>
  </si>
  <si>
    <t>2,400 Sq.ft. (222.97 Sq.m.)</t>
  </si>
  <si>
    <t>No. of Floors:</t>
  </si>
  <si>
    <t>G+1 (Ground + First Floor)</t>
  </si>
  <si>
    <t>Estimate Date:</t>
  </si>
  <si>
    <t>27-May-2026</t>
  </si>
  <si>
    <t>Validity Period:</t>
  </si>
  <si>
    <t>30 days from estimate date</t>
  </si>
  <si>
    <t>DOCUMENT CONTROL</t>
  </si>
  <si>
    <t>Revision No.:</t>
  </si>
  <si>
    <t>R0</t>
  </si>
  <si>
    <t>Prepared By:</t>
  </si>
  <si>
    <t>[Engineer Name]</t>
  </si>
  <si>
    <t>Issue Date:</t>
  </si>
  <si>
    <t>Checked By:</t>
  </si>
  <si>
    <t>[QS Name]</t>
  </si>
  <si>
    <t>Document No.:</t>
  </si>
  <si>
    <t>CEI/EST/2026/001</t>
  </si>
  <si>
    <t>Approved By:</t>
  </si>
  <si>
    <t>[Manager Name]</t>
  </si>
  <si>
    <t>Status:</t>
  </si>
  <si>
    <t>DRAFT</t>
  </si>
  <si>
    <t>Total Pages:</t>
  </si>
  <si>
    <t>11 Sheets</t>
  </si>
  <si>
    <t>ESTIMATE SUMMARY (Auto-Calculated)</t>
  </si>
  <si>
    <t>Total Civil Cost (₹):</t>
  </si>
  <si>
    <t>Linked from Abstract</t>
  </si>
  <si>
    <t>GST @ 18% (₹):</t>
  </si>
  <si>
    <t>Auto-Calculated</t>
  </si>
  <si>
    <t>Grand Total (₹):</t>
  </si>
  <si>
    <t>Cost per Sq.ft. (₹):</t>
  </si>
  <si>
    <t>DISCLAIMER: This estimate is based on prevailing market rates as of 2026 in Uttar Pradesh and is valid for 30 days. Actual costs may vary based on site conditions, design changes, material availability, and market fluctuations. All rates are inclusive of basic materials, labor, and equipment unless specified otherwise. GST, transportation beyond 20km, and statutory approvals are additional. Issued by Construction Estimator India - Accurate Estimates | Smart Solutions.</t>
  </si>
  <si>
    <t>© 2026 Construction Estimator India | Lucknow, Uttar Pradesh | All Rights Reserved</t>
  </si>
  <si>
    <t>PROJECT INFORMATION &amp; ASSUMPTIONS</t>
  </si>
  <si>
    <t>1. PROJECT DETAILS</t>
  </si>
  <si>
    <t>Parameter</t>
  </si>
  <si>
    <t>Value</t>
  </si>
  <si>
    <t>Unit</t>
  </si>
  <si>
    <t>Remarks</t>
  </si>
  <si>
    <t>Project Type</t>
  </si>
  <si>
    <t>Residential</t>
  </si>
  <si>
    <t>-</t>
  </si>
  <si>
    <t>G+1 House</t>
  </si>
  <si>
    <t>Plot Area</t>
  </si>
  <si>
    <t>Sq.ft.</t>
  </si>
  <si>
    <t>Total land area</t>
  </si>
  <si>
    <t>Built-up Area (Ground)</t>
  </si>
  <si>
    <t>Ground floor</t>
  </si>
  <si>
    <t>Built-up Area (First)</t>
  </si>
  <si>
    <t>First floor</t>
  </si>
  <si>
    <t>Total Built-up Area</t>
  </si>
  <si>
    <t>Auto-calculated</t>
  </si>
  <si>
    <t>Total Built-up Area (Metric)</t>
  </si>
  <si>
    <t>Sq.m.</t>
  </si>
  <si>
    <t>1 sqft = 0.0929 sqm</t>
  </si>
  <si>
    <t>Floor Height</t>
  </si>
  <si>
    <t>ft</t>
  </si>
  <si>
    <t>Standard residential</t>
  </si>
  <si>
    <t>No. of Bedrooms</t>
  </si>
  <si>
    <t>Nos.</t>
  </si>
  <si>
    <t>2BHK configuration</t>
  </si>
  <si>
    <t>No. of Bathrooms</t>
  </si>
  <si>
    <t>Foundation Type</t>
  </si>
  <si>
    <t>Isolated Footing</t>
  </si>
  <si>
    <t>As per soil test</t>
  </si>
  <si>
    <t>Structure Type</t>
  </si>
  <si>
    <t>RCC Framed</t>
  </si>
  <si>
    <t>M20 Concrete, Fe500 Steel</t>
  </si>
  <si>
    <t>Wall Type</t>
  </si>
  <si>
    <t>Brick Masonry</t>
  </si>
  <si>
    <t>230mm external, 115mm internal</t>
  </si>
  <si>
    <t>Roofing</t>
  </si>
  <si>
    <t>RCC Slab</t>
  </si>
  <si>
    <t>150mm thick</t>
  </si>
  <si>
    <t>2. KEY ASSUMPTIONS &amp; FACTORS</t>
  </si>
  <si>
    <t>Reference/Notes</t>
  </si>
  <si>
    <t>GST Rate</t>
  </si>
  <si>
    <t>%</t>
  </si>
  <si>
    <t>As per GST Council 2026</t>
  </si>
  <si>
    <t>Contingency</t>
  </si>
  <si>
    <t>5% on civil cost</t>
  </si>
  <si>
    <t>Overheads</t>
  </si>
  <si>
    <t>10% site overheads</t>
  </si>
  <si>
    <t>Contractor Profit</t>
  </si>
  <si>
    <t>15% margin</t>
  </si>
  <si>
    <t>Wastage - Cement</t>
  </si>
  <si>
    <t>3% wastage allowance</t>
  </si>
  <si>
    <t>Wastage - Steel</t>
  </si>
  <si>
    <t>3% wastage</t>
  </si>
  <si>
    <t>Wastage - Bricks</t>
  </si>
  <si>
    <t>5% wastage</t>
  </si>
  <si>
    <t>Wastage - Tiles</t>
  </si>
  <si>
    <t>10% cutting wastage</t>
  </si>
  <si>
    <t>Labor Productivity Factor</t>
  </si>
  <si>
    <t>Normal site conditions</t>
  </si>
  <si>
    <t>Location Factor (UP)</t>
  </si>
  <si>
    <t>Base location</t>
  </si>
  <si>
    <t>Lead for Materials</t>
  </si>
  <si>
    <t>km</t>
  </si>
  <si>
    <t>Free transportation</t>
  </si>
  <si>
    <t>Lift Allowance</t>
  </si>
  <si>
    <t>meters</t>
  </si>
  <si>
    <t>Above 3m extra charge</t>
  </si>
  <si>
    <t>3. RATE SOURCE TOGGLE</t>
  </si>
  <si>
    <t>Rate Source:</t>
  </si>
  <si>
    <t>Market</t>
  </si>
  <si>
    <t>Options: DSR / Market</t>
  </si>
  <si>
    <t>Currency:</t>
  </si>
  <si>
    <t>INR (₹)</t>
  </si>
  <si>
    <t>Symbol:</t>
  </si>
  <si>
    <t>₹</t>
  </si>
  <si>
    <t>Estimate Base Date:</t>
  </si>
  <si>
    <t>Valid Till:</t>
  </si>
  <si>
    <t>4. APPLICABLE CODES &amp; STANDARDS</t>
  </si>
  <si>
    <t>Code</t>
  </si>
  <si>
    <t>Title</t>
  </si>
  <si>
    <t>Application</t>
  </si>
  <si>
    <t>Year</t>
  </si>
  <si>
    <t>IS 1200</t>
  </si>
  <si>
    <t>Method of Measurement</t>
  </si>
  <si>
    <t>All civil works</t>
  </si>
  <si>
    <t>IS 456</t>
  </si>
  <si>
    <t>Plain &amp; Reinforced Concrete</t>
  </si>
  <si>
    <t>RCC works</t>
  </si>
  <si>
    <t>IS 875</t>
  </si>
  <si>
    <t>Design Loads</t>
  </si>
  <si>
    <t>Structural design</t>
  </si>
  <si>
    <t>IS 1893</t>
  </si>
  <si>
    <t>Seismic Design</t>
  </si>
  <si>
    <t>Earthquake resistance</t>
  </si>
  <si>
    <t>IS 2502</t>
  </si>
  <si>
    <t>Bar Bending Schedule</t>
  </si>
  <si>
    <t>Reinforcement</t>
  </si>
  <si>
    <t>IS 13920</t>
  </si>
  <si>
    <t>Ductile Detailing</t>
  </si>
  <si>
    <t>RCC structures</t>
  </si>
  <si>
    <t>CPWD DSR</t>
  </si>
  <si>
    <t>Delhi Schedule of Rates</t>
  </si>
  <si>
    <t>Rate reference</t>
  </si>
  <si>
    <t>NBC 2016</t>
  </si>
  <si>
    <t>National Building Code</t>
  </si>
  <si>
    <t>General compliance</t>
  </si>
  <si>
    <t>MARKET RATES DATABASE - UTTAR PRADESH (2026)</t>
  </si>
  <si>
    <t>Dynamic Rate Master | Auto-Updated via Toggle in Project_Info Sheet | Cell C35</t>
  </si>
  <si>
    <t>Active Rate Source:</t>
  </si>
  <si>
    <t>Last Database Update: 27-May-2026</t>
  </si>
  <si>
    <t>S.No.</t>
  </si>
  <si>
    <t>Item Description</t>
  </si>
  <si>
    <t>DSR Rate (₹)</t>
  </si>
  <si>
    <t>Market Rate (₹)</t>
  </si>
  <si>
    <t>Applied Rate (₹)</t>
  </si>
  <si>
    <t>Last Updated</t>
  </si>
  <si>
    <t>Location Factor</t>
  </si>
  <si>
    <t>Supplier/Source</t>
  </si>
  <si>
    <t>A. CEMENT &amp; BINDERS</t>
  </si>
  <si>
    <t>CEM-01</t>
  </si>
  <si>
    <t>OPC 43 Grade Cement (50 kg bag)</t>
  </si>
  <si>
    <t>Bag</t>
  </si>
  <si>
    <t>01-May-2026</t>
  </si>
  <si>
    <t>UltraTech/ACC</t>
  </si>
  <si>
    <t>Brand: UltraTech</t>
  </si>
  <si>
    <t>CEM-02</t>
  </si>
  <si>
    <t>OPC 53 Grade Cement (50 kg bag)</t>
  </si>
  <si>
    <t>Ambuja/Shree</t>
  </si>
  <si>
    <t>High strength</t>
  </si>
  <si>
    <t>CEM-03</t>
  </si>
  <si>
    <t>PPC Cement (50 kg bag)</t>
  </si>
  <si>
    <t>Birla/JK Lakshmi</t>
  </si>
  <si>
    <t>Eco-friendly</t>
  </si>
  <si>
    <t>CEM-04</t>
  </si>
  <si>
    <t>PSC Cement (50 kg bag)</t>
  </si>
  <si>
    <t>Local Dealer</t>
  </si>
  <si>
    <t>CEM-05</t>
  </si>
  <si>
    <t>White Cement (Birla White) 40kg</t>
  </si>
  <si>
    <t>Birla White</t>
  </si>
  <si>
    <t>For finishing</t>
  </si>
  <si>
    <t>B. STEEL &amp; REINFORCEMENT</t>
  </si>
  <si>
    <t>STL-01</t>
  </si>
  <si>
    <t>TMT Steel Fe500 - 8mm dia</t>
  </si>
  <si>
    <t>Tonne</t>
  </si>
  <si>
    <t>TATA/SAIL</t>
  </si>
  <si>
    <t>ISI marked</t>
  </si>
  <si>
    <t>STL-02</t>
  </si>
  <si>
    <t>TMT Steel Fe500 - 10mm dia</t>
  </si>
  <si>
    <t>STL-03</t>
  </si>
  <si>
    <t>TMT Steel Fe500 - 12mm dia</t>
  </si>
  <si>
    <t>TATA/JSW</t>
  </si>
  <si>
    <t>Most used</t>
  </si>
  <si>
    <t>STL-04</t>
  </si>
  <si>
    <t>TMT Steel Fe500 - 16mm dia</t>
  </si>
  <si>
    <t>Column main bars</t>
  </si>
  <si>
    <t>STL-05</t>
  </si>
  <si>
    <t>TMT Steel Fe500D - 20mm/25mm</t>
  </si>
  <si>
    <t>Heavy structural</t>
  </si>
  <si>
    <t>STL-06</t>
  </si>
  <si>
    <t>Binding Wire 18 SWG</t>
  </si>
  <si>
    <t>Kg</t>
  </si>
  <si>
    <t>Local</t>
  </si>
  <si>
    <t>GI wire</t>
  </si>
  <si>
    <t>C. SAND &amp; AGGREGATES</t>
  </si>
  <si>
    <t>SND-01</t>
  </si>
  <si>
    <t>River Sand (Yamuna/Ganga) - fine</t>
  </si>
  <si>
    <t>Cu.m.</t>
  </si>
  <si>
    <t>Local Quarry</t>
  </si>
  <si>
    <t>Zone-II</t>
  </si>
  <si>
    <t>SND-02</t>
  </si>
  <si>
    <t>M-Sand (Manufactured Sand)</t>
  </si>
  <si>
    <t>Crusher Plant</t>
  </si>
  <si>
    <t>Substitute for river sand</t>
  </si>
  <si>
    <t>SND-03</t>
  </si>
  <si>
    <t>Plastering Sand (fine)</t>
  </si>
  <si>
    <t>Sieved</t>
  </si>
  <si>
    <t>AGG-01</t>
  </si>
  <si>
    <t>Stone Aggregate 10mm</t>
  </si>
  <si>
    <t>Crusher</t>
  </si>
  <si>
    <t>For RCC</t>
  </si>
  <si>
    <t>AGG-02</t>
  </si>
  <si>
    <t>Stone Aggregate 20mm</t>
  </si>
  <si>
    <t>Standard size</t>
  </si>
  <si>
    <t>AGG-03</t>
  </si>
  <si>
    <t>Stone Aggregate 40mm</t>
  </si>
  <si>
    <t>PCC use</t>
  </si>
  <si>
    <t>D. BRICKS &amp; BLOCKS</t>
  </si>
  <si>
    <t>BRK-01</t>
  </si>
  <si>
    <t>1st Class Red Brick (230x110x70mm)</t>
  </si>
  <si>
    <t>Local Kiln</t>
  </si>
  <si>
    <t>Class A</t>
  </si>
  <si>
    <t>BRK-02</t>
  </si>
  <si>
    <t>2nd Class Red Brick</t>
  </si>
  <si>
    <t>Class B</t>
  </si>
  <si>
    <t>BRK-03</t>
  </si>
  <si>
    <t>Fly Ash Brick (230x110x75mm)</t>
  </si>
  <si>
    <t>Fly Ash Plant</t>
  </si>
  <si>
    <t>BLK-01</t>
  </si>
  <si>
    <t>AAC Block 600x200x100mm</t>
  </si>
  <si>
    <t>Birla Aerocon/Magicrete</t>
  </si>
  <si>
    <t>Lightweight</t>
  </si>
  <si>
    <t>BLK-02</t>
  </si>
  <si>
    <t>AAC Block 600x200x200mm</t>
  </si>
  <si>
    <t>Birla Aerocon</t>
  </si>
  <si>
    <t>External walls</t>
  </si>
  <si>
    <t>E. TILES &amp; STONE</t>
  </si>
  <si>
    <t>TIL-01</t>
  </si>
  <si>
    <t>Vitrified Tile 600x600 (Premium)</t>
  </si>
  <si>
    <t>Kajaria/Somany</t>
  </si>
  <si>
    <t>Floor tile</t>
  </si>
  <si>
    <t>TIL-02</t>
  </si>
  <si>
    <t>Ceramic Wall Tile 300x600</t>
  </si>
  <si>
    <t>Kajaria</t>
  </si>
  <si>
    <t>Bathroom</t>
  </si>
  <si>
    <t>TIL-03</t>
  </si>
  <si>
    <t>Anti-skid Floor Tile 300x300</t>
  </si>
  <si>
    <t>Somany</t>
  </si>
  <si>
    <t>Toilet floor</t>
  </si>
  <si>
    <t>STN-01</t>
  </si>
  <si>
    <t>Kota Stone (25mm thick)</t>
  </si>
  <si>
    <t>Rajasthan</t>
  </si>
  <si>
    <t>Includes lead</t>
  </si>
  <si>
    <t>STN-02</t>
  </si>
  <si>
    <t>Granite (Premium 18mm)</t>
  </si>
  <si>
    <t>Karnataka</t>
  </si>
  <si>
    <t>Kitchen platform</t>
  </si>
  <si>
    <t>F. WOOD, DOORS &amp; WINDOWS</t>
  </si>
  <si>
    <t>WD-01</t>
  </si>
  <si>
    <t>Sal Wood (frame quality)</t>
  </si>
  <si>
    <t>Timber Yard</t>
  </si>
  <si>
    <t>Door/Window frame</t>
  </si>
  <si>
    <t>WD-02</t>
  </si>
  <si>
    <t>Teak Wood (Burma) Premium</t>
  </si>
  <si>
    <t>Premium Supplier</t>
  </si>
  <si>
    <t>Premium quality</t>
  </si>
  <si>
    <t>DR-01</t>
  </si>
  <si>
    <t>Flush Door 35mm (commercial)</t>
  </si>
  <si>
    <t>Greenply/Century</t>
  </si>
  <si>
    <t>Internal door</t>
  </si>
  <si>
    <t>DR-02</t>
  </si>
  <si>
    <t>Main Door Solid Teak</t>
  </si>
  <si>
    <t>Custom Made</t>
  </si>
  <si>
    <t>Main entrance</t>
  </si>
  <si>
    <t>WN-01</t>
  </si>
  <si>
    <t>Aluminum Window (Powder Coated)</t>
  </si>
  <si>
    <t>Jindal/Hindalco</t>
  </si>
  <si>
    <t>Sliding</t>
  </si>
  <si>
    <t>WN-02</t>
  </si>
  <si>
    <t>UPVC Window with Mesh</t>
  </si>
  <si>
    <t>Fenesta/LG</t>
  </si>
  <si>
    <t>Premium</t>
  </si>
  <si>
    <t>G. PAINTS &amp; FINISHES</t>
  </si>
  <si>
    <t>PT-01</t>
  </si>
  <si>
    <t>Cement Primer (per ltr)</t>
  </si>
  <si>
    <t>Ltr</t>
  </si>
  <si>
    <t>Asian Paints</t>
  </si>
  <si>
    <t>Base coat</t>
  </si>
  <si>
    <t>PT-02</t>
  </si>
  <si>
    <t>Acrylic Distemper (per ltr)</t>
  </si>
  <si>
    <t>Asian/Berger</t>
  </si>
  <si>
    <t>Internal</t>
  </si>
  <si>
    <t>PT-03</t>
  </si>
  <si>
    <t>Plastic Emulsion Paint (Premium)</t>
  </si>
  <si>
    <t>Asian Royale</t>
  </si>
  <si>
    <t>Washable</t>
  </si>
  <si>
    <t>PT-04</t>
  </si>
  <si>
    <t>Exterior Weatherproof Paint</t>
  </si>
  <si>
    <t>Apex Ultima</t>
  </si>
  <si>
    <t>Outside walls</t>
  </si>
  <si>
    <t>PT-05</t>
  </si>
  <si>
    <t>Enamel Paint (per ltr)</t>
  </si>
  <si>
    <t>Wood/metal</t>
  </si>
  <si>
    <t>H. LABOR RATES (Daily Wages - UP)</t>
  </si>
  <si>
    <t>LAB-01</t>
  </si>
  <si>
    <t>Mason (Skilled - 1st Class)</t>
  </si>
  <si>
    <t>Day</t>
  </si>
  <si>
    <t>Local Labor</t>
  </si>
  <si>
    <t>8-hour day</t>
  </si>
  <si>
    <t>LAB-02</t>
  </si>
  <si>
    <t>Mason (Semi-skilled)</t>
  </si>
  <si>
    <t>LAB-03</t>
  </si>
  <si>
    <t>Bar Bender (Skilled)</t>
  </si>
  <si>
    <t>Specialist</t>
  </si>
  <si>
    <t>Steel work</t>
  </si>
  <si>
    <t>LAB-04</t>
  </si>
  <si>
    <t>Carpenter (Skilled)</t>
  </si>
  <si>
    <t>Shuttering</t>
  </si>
  <si>
    <t>LAB-05</t>
  </si>
  <si>
    <t>Painter (Skilled)</t>
  </si>
  <si>
    <t>LAB-06</t>
  </si>
  <si>
    <t>Unskilled Labor (Mazdoor)</t>
  </si>
  <si>
    <t>Helper</t>
  </si>
  <si>
    <t>LAB-07</t>
  </si>
  <si>
    <t>Plumber</t>
  </si>
  <si>
    <t>I. WATERPROOFING &amp; MISC</t>
  </si>
  <si>
    <t>WP-01</t>
  </si>
  <si>
    <t>Waterproofing Chemical (Dr.Fixit)</t>
  </si>
  <si>
    <t>Pidilite</t>
  </si>
  <si>
    <t>Roof treatment</t>
  </si>
  <si>
    <t>WP-02</t>
  </si>
  <si>
    <t>APP Membrane (3mm)</t>
  </si>
  <si>
    <t>STP/Pidilite</t>
  </si>
  <si>
    <t>Terrace</t>
  </si>
  <si>
    <t>MS-01</t>
  </si>
  <si>
    <t>Curing Compound</t>
  </si>
  <si>
    <t>Fosroc</t>
  </si>
  <si>
    <t>Concrete cure</t>
  </si>
  <si>
    <t>MS-02</t>
  </si>
  <si>
    <t>Admixture (Plasticizer)</t>
  </si>
  <si>
    <t>Sika/Fosroc</t>
  </si>
  <si>
    <t>Workability</t>
  </si>
  <si>
    <t>MS-03</t>
  </si>
  <si>
    <t>POP / Wall Putty</t>
  </si>
  <si>
    <t>Birla/JK Wall</t>
  </si>
  <si>
    <t>Surface prep</t>
  </si>
  <si>
    <t>INSTRUCTIONS: Update Market Rate (Column G) monthly. The Applied Rate (Column H) auto-updates based on the toggle in Project_Info!C35. Adjust Location Factor (Column J) for site-specific premium/discount.</t>
  </si>
  <si>
    <t>Source: CPWD DSR 2024 + UP PWD Schedule + Market Survey May 2026 | Updated By: Construction Estimator India</t>
  </si>
  <si>
    <t>BILL OF QUANTITIES (BOQ) - CIVIL WORKS</t>
  </si>
  <si>
    <t>Project: Residential G+1 House, Lucknow UP | As per IS 1200 / CPWD Specifications</t>
  </si>
  <si>
    <t>Total BOQ Value (₹):</t>
  </si>
  <si>
    <t>Item No.</t>
  </si>
  <si>
    <t>Description of Work</t>
  </si>
  <si>
    <t>Quantity</t>
  </si>
  <si>
    <t>Rate (₹)</t>
  </si>
  <si>
    <t>Amount (₹)</t>
  </si>
  <si>
    <t>1.0  EARTHWORK</t>
  </si>
  <si>
    <t>EW-01</t>
  </si>
  <si>
    <t>Site clearance, removal of vegetation, top soil up to 150mm depth and disposal within site.</t>
  </si>
  <si>
    <t>Manual labor</t>
  </si>
  <si>
    <t>EW-02</t>
  </si>
  <si>
    <t>Earthwork in excavation in foundation trenches in ordinary soil up to 1.5m depth including dressing of sides and ramming of bottom.</t>
  </si>
  <si>
    <t>Manual</t>
  </si>
  <si>
    <t>EW-03</t>
  </si>
  <si>
    <t>Earth filling in plinth with excavated earth in 200mm layers, watered, rammed and consolidated.</t>
  </si>
  <si>
    <t>Reuse</t>
  </si>
  <si>
    <t>EW-04</t>
  </si>
  <si>
    <t>Anti-termite treatment of foundations with chlorpyriphos 1.0% emulsion as per IS 6313.</t>
  </si>
  <si>
    <t>Pre-construction</t>
  </si>
  <si>
    <t>EW-05</t>
  </si>
  <si>
    <t>Sand filling under floor in 150mm layers, watered, rammed, consolidated.</t>
  </si>
  <si>
    <t>River sand</t>
  </si>
  <si>
    <t>Sub-total: Earthwork</t>
  </si>
  <si>
    <t>2.0  CONCRETE WORKS (PCC &amp; RCC)</t>
  </si>
  <si>
    <t>CC-01</t>
  </si>
  <si>
    <t>PCC 1:4:8 with 40mm graded stone aggregate under foundation/floor as per IS 456.</t>
  </si>
  <si>
    <t>Lean concrete</t>
  </si>
  <si>
    <t>CC-02</t>
  </si>
  <si>
    <t>PCC 1:2:4 (M15) with 20mm aggregate for plinth protection and miscellaneous works.</t>
  </si>
  <si>
    <t>CC-03</t>
  </si>
  <si>
    <t>RCC M20 grade (1:1.5:3) with 20mm aggregate in foundation footings, including form work, vibrating, curing. Excluding reinforcement.</t>
  </si>
  <si>
    <t>Isolated footing</t>
  </si>
  <si>
    <t>CC-04</t>
  </si>
  <si>
    <t>RCC M20 in columns, including form work and curing. Excluding steel.</t>
  </si>
  <si>
    <t>Up to first floor</t>
  </si>
  <si>
    <t>CC-05</t>
  </si>
  <si>
    <t>RCC M20 in plinth beams, lintel beams, sunshades, as per IS 456.</t>
  </si>
  <si>
    <t>Beams &amp; lintels</t>
  </si>
  <si>
    <t>CC-06</t>
  </si>
  <si>
    <t>RCC M20 in roof slabs (150mm thick), including form work, mesh placing, vibrating and curing for 14 days. Excluding steel.</t>
  </si>
  <si>
    <t>GF + FF slabs</t>
  </si>
  <si>
    <t>CC-07</t>
  </si>
  <si>
    <t>RCC M25 in staircase including waist slab, steps, landing.</t>
  </si>
  <si>
    <t>Sub-total: Concrete Works</t>
  </si>
  <si>
    <t>3.0  FORMWORK &amp; SCAFFOLDING</t>
  </si>
  <si>
    <t>FW-01</t>
  </si>
  <si>
    <t>Centering and shuttering with plywood/steel for foundation footings and pedestals.</t>
  </si>
  <si>
    <t>3 uses</t>
  </si>
  <si>
    <t>FW-02</t>
  </si>
  <si>
    <t>Centering and shuttering for columns up to 4m height with steel/ply shuttering.</t>
  </si>
  <si>
    <t>FW-03</t>
  </si>
  <si>
    <t>Centering and shuttering for beams (sides and soffits).</t>
  </si>
  <si>
    <t>FW-04</t>
  </si>
  <si>
    <t>Centering and shuttering for slab soffits including supports up to 3.5m height.</t>
  </si>
  <si>
    <t>Slabs</t>
  </si>
  <si>
    <t>FW-05</t>
  </si>
  <si>
    <t>Centering and shuttering for staircase including risers, treads, soffits.</t>
  </si>
  <si>
    <t>FW-06</t>
  </si>
  <si>
    <t>Steel scaffolding for external works including erection, dismantling, hire charges.</t>
  </si>
  <si>
    <t>Per month</t>
  </si>
  <si>
    <t>Sub-total: Formwork</t>
  </si>
  <si>
    <t>4.0  REINFORCEMENT STEEL</t>
  </si>
  <si>
    <t>RS-01</t>
  </si>
  <si>
    <t>Supply and fixing of TMT Fe500 reinforcement bars (8mm-12mm) including cutting, bending, binding with 18 SWG wire as per IS 1786, IS 2502 and BBS.</t>
  </si>
  <si>
    <t>3% wastage incl.</t>
  </si>
  <si>
    <t>RS-02</t>
  </si>
  <si>
    <t>Supply and fixing of TMT Fe500 bars (16mm-25mm) for columns and beams main reinforcement.</t>
  </si>
  <si>
    <t>Main bars</t>
  </si>
  <si>
    <t>RS-03</t>
  </si>
  <si>
    <t>Mild steel binding wire 18 SWG for tying reinforcement.</t>
  </si>
  <si>
    <t>Sub-total: Reinforcement</t>
  </si>
  <si>
    <t>5.0  MASONRY WORK</t>
  </si>
  <si>
    <t>Brick masonry with 1st class bricks in CM 1:6 in foundation and plinth up to GL.</t>
  </si>
  <si>
    <t>Below GL</t>
  </si>
  <si>
    <t>Brick masonry 230mm thick with 1st class bricks in CM 1:6 in superstructure above GL.</t>
  </si>
  <si>
    <t>Half brick masonry 115mm thick in CM 1:4 for internal partition walls.</t>
  </si>
  <si>
    <t>Partitions</t>
  </si>
  <si>
    <t>MS-04</t>
  </si>
  <si>
    <t>AAC Block masonry 200mm thick with cement mortar 1:6 (alternative).</t>
  </si>
  <si>
    <t>Optional</t>
  </si>
  <si>
    <t>Sub-total: Masonry</t>
  </si>
  <si>
    <t>6.0  FINISHING (PLASTER &amp; PAINTING)</t>
  </si>
  <si>
    <t>FN-01</t>
  </si>
  <si>
    <t>12mm thick cement plaster CM 1:4 on internal walls in single coat finished smooth.</t>
  </si>
  <si>
    <t>FN-02</t>
  </si>
  <si>
    <t>20mm thick cement plaster CM 1:4 (two coats) on external walls including curing.</t>
  </si>
  <si>
    <t>External</t>
  </si>
  <si>
    <t>FN-03</t>
  </si>
  <si>
    <t>6mm thick ceiling plaster CM 1:3 finished smooth with neeru.</t>
  </si>
  <si>
    <t>Ceiling</t>
  </si>
  <si>
    <t>FN-04</t>
  </si>
  <si>
    <t>Wall putty (Birla/JK) - two coats on internal walls before painting.</t>
  </si>
  <si>
    <t>FN-05</t>
  </si>
  <si>
    <t>Painting with plastic emulsion (Asian Royale) - primer + 2 coats internal.</t>
  </si>
  <si>
    <t>FN-06</t>
  </si>
  <si>
    <t>Exterior weatherproof paint (Apex Ultima) - primer + 2 coats on external.</t>
  </si>
  <si>
    <t>FN-07</t>
  </si>
  <si>
    <t>Enamel paint on doors, windows, grills - primer + 2 coats.</t>
  </si>
  <si>
    <t>Wood/MS work</t>
  </si>
  <si>
    <t>Sub-total: Finishing</t>
  </si>
  <si>
    <t>7.0  FLOORING &amp; TILING</t>
  </si>
  <si>
    <t>FL-01</t>
  </si>
  <si>
    <t>Vitrified tile flooring 600x600mm (premium grade) laid on cement mortar bed 20mm thick with neat cement slurry.</t>
  </si>
  <si>
    <t>Bedroom, Living</t>
  </si>
  <si>
    <t>FL-02</t>
  </si>
  <si>
    <t>Anti-skid ceramic tile flooring 300x300mm in toilets and balcony.</t>
  </si>
  <si>
    <t>Bathrooms</t>
  </si>
  <si>
    <t>FL-03</t>
  </si>
  <si>
    <t>Ceramic wall tiles 300x600mm (glazed) on toilet walls up to 7ft height with cement mortar 1:3.</t>
  </si>
  <si>
    <t>Dado</t>
  </si>
  <si>
    <t>FL-04</t>
  </si>
  <si>
    <t>Kota stone flooring 25mm thick on staircase steps and landing with cement mortar bed.</t>
  </si>
  <si>
    <t>Staircase</t>
  </si>
  <si>
    <t>FL-05</t>
  </si>
  <si>
    <t>Granite stone for kitchen platform 18mm thick polished, including edge moulding and sink cutout.</t>
  </si>
  <si>
    <t>Kitchen</t>
  </si>
  <si>
    <t>FL-06</t>
  </si>
  <si>
    <t>Granite skirting 100mm high polished, fixed with cement mortar.</t>
  </si>
  <si>
    <t>Rmt</t>
  </si>
  <si>
    <t>Sub-total: Flooring</t>
  </si>
  <si>
    <t>8.0  ROOFING &amp; WATERPROOFING</t>
  </si>
  <si>
    <t>Brick bat coba waterproofing 75-100mm avg thickness on terrace with cement slurry layers and curing.</t>
  </si>
  <si>
    <t>APP membrane waterproofing (3mm) on terrace including primer.</t>
  </si>
  <si>
    <t>Alternative</t>
  </si>
  <si>
    <t>WP-03</t>
  </si>
  <si>
    <t>Waterproofing of toilets sunken portion with Dr.Fixit Pidiproof + cement slurry.</t>
  </si>
  <si>
    <t>Toilet sunken</t>
  </si>
  <si>
    <t>WP-04</t>
  </si>
  <si>
    <t>Parapet wall 230mm thick, 900mm high in brick masonry CM 1:6 with coping.</t>
  </si>
  <si>
    <t>Terrace edge</t>
  </si>
  <si>
    <t>Sub-total: Roofing &amp; WP</t>
  </si>
  <si>
    <t>9.0  DOORS, WINDOWS &amp; WOODWORK</t>
  </si>
  <si>
    <t>Main door - solid teak wood frame 100x65mm with 35mm thick teak panel shutter, polished finish, including hardware (Godrej).</t>
  </si>
  <si>
    <t>1 No.</t>
  </si>
  <si>
    <t>Internal flush doors 35mm thick with sal wood frame 75x50mm, including hinges, locks, handles.</t>
  </si>
  <si>
    <t>5 Nos.</t>
  </si>
  <si>
    <t>DR-03</t>
  </si>
  <si>
    <t>PVC door for toilets with PVC frame, complete with hardware.</t>
  </si>
  <si>
    <t>2 Nos.</t>
  </si>
  <si>
    <t>Aluminum sliding window with 5mm glass (powder coated Jindal section), including mosquito mesh shutter.</t>
  </si>
  <si>
    <t>Bedrooms/halls</t>
  </si>
  <si>
    <t>MS Grills (10mm sq bars) on windows, painted with enamel primer + 2 coats.</t>
  </si>
  <si>
    <t>Security grills</t>
  </si>
  <si>
    <t>WN-03</t>
  </si>
  <si>
    <t>MS railing for staircase with handrail, balusters, painted.</t>
  </si>
  <si>
    <t>Sub-total: Doors &amp; Windows</t>
  </si>
  <si>
    <t>10.0  MISCELLANEOUS &amp; PROVISIONAL ITEMS</t>
  </si>
  <si>
    <t>MP-01</t>
  </si>
  <si>
    <t>Plumbing &amp; sanitary fittings (provisional) - CPVC pipes, fittings, fixtures (basin, WC, shower, taps).</t>
  </si>
  <si>
    <t>LS</t>
  </si>
  <si>
    <t>2 toilets, 1 kitchen</t>
  </si>
  <si>
    <t>MP-02</t>
  </si>
  <si>
    <t>Electrical wiring with conduit, switches, MCBs, points (provisional) as per IS 732.</t>
  </si>
  <si>
    <t>Full house</t>
  </si>
  <si>
    <t>MP-03</t>
  </si>
  <si>
    <t>Overhead water tank 1000 ltr Sintex with stand and connections.</t>
  </si>
  <si>
    <t>MP-04</t>
  </si>
  <si>
    <t>Underground sump 5000 ltr in PCC + brick masonry with waterproofing.</t>
  </si>
  <si>
    <t>Storage</t>
  </si>
  <si>
    <t>MP-05</t>
  </si>
  <si>
    <t>Septic tank and soak pit as per IS 2470.</t>
  </si>
  <si>
    <t>Disposal</t>
  </si>
  <si>
    <t>MP-06</t>
  </si>
  <si>
    <t>Compound wall 5ft high in brick masonry with iron gate (provisional).</t>
  </si>
  <si>
    <t>MP-07</t>
  </si>
  <si>
    <t>Site cleanup, debris removal, and final handover.</t>
  </si>
  <si>
    <t>Sub-total: Miscellaneous</t>
  </si>
  <si>
    <t>GRAND TOTAL - BOQ CIVIL WORKS (₹)</t>
  </si>
  <si>
    <t>QUANTITY TAKE-OFF / MEASUREMENT SHEET</t>
  </si>
  <si>
    <t>As per IS 1200 - Method of Measurement | Project: G+1 Residential Building, Lucknow UP</t>
  </si>
  <si>
    <t>Building Footprint: 30ft x 30ft = 900 Sq.ft (Ground Floor) | Floor Height: 10ft (3.05m) | Plinth Height: 2ft (0.61m)</t>
  </si>
  <si>
    <t>BOQ Ref</t>
  </si>
  <si>
    <t>Description / Element</t>
  </si>
  <si>
    <t>Length (m)</t>
  </si>
  <si>
    <t>Breadth (m)</t>
  </si>
  <si>
    <t>Height/Depth (m)</t>
  </si>
  <si>
    <t>Calculation / Remarks</t>
  </si>
  <si>
    <t>A. EARTHWORK MEASUREMENTS</t>
  </si>
  <si>
    <t>Site clearance (Plot Area)</t>
  </si>
  <si>
    <t>60ft x 40ft plot</t>
  </si>
  <si>
    <t>Foundation Excavation - Footings (12 Nos.)</t>
  </si>
  <si>
    <t>12 isolated footings</t>
  </si>
  <si>
    <t>Foundation Excavation - Plinth beam trenches</t>
  </si>
  <si>
    <t>Continuous trench</t>
  </si>
  <si>
    <t>Total Foundation Excavation</t>
  </si>
  <si>
    <t>Round to 42 Cu.m.</t>
  </si>
  <si>
    <t>Earth filling in plinth (60% of excavation)</t>
  </si>
  <si>
    <t>Approx 28 Cu.m.</t>
  </si>
  <si>
    <t>Anti-termite treatment (Plinth area)</t>
  </si>
  <si>
    <t>Plinth area</t>
  </si>
  <si>
    <t>Sand filling under floor (100mm thick)</t>
  </si>
  <si>
    <t>125mm consolidated</t>
  </si>
  <si>
    <t>Sub-section A Total Items: 7</t>
  </si>
  <si>
    <t>Items</t>
  </si>
  <si>
    <t>B. CONCRETE WORKS MEASUREMENTS</t>
  </si>
  <si>
    <t>PCC 1:4:8 under footings (12 Nos)</t>
  </si>
  <si>
    <t>100mm thick</t>
  </si>
  <si>
    <t>PCC 1:4:8 under plinth beams</t>
  </si>
  <si>
    <t>75mm thick</t>
  </si>
  <si>
    <t>PCC under flooring 75mm</t>
  </si>
  <si>
    <t>RCC M20 Footings (12 Nos)</t>
  </si>
  <si>
    <t>1200x1200x450</t>
  </si>
  <si>
    <t>RCC M20 Columns 230x300 (12 Nos, 6.1m ht)</t>
  </si>
  <si>
    <t>GF + FF height</t>
  </si>
  <si>
    <t>RCC M20 Plinth Beams 230x300</t>
  </si>
  <si>
    <t>RCC M20 Lintel Beams 230x150</t>
  </si>
  <si>
    <t>RCC M20 Roof Beams 230x350</t>
  </si>
  <si>
    <t>GF + FF beams</t>
  </si>
  <si>
    <t>RCC M20 Slabs 150mm thick (GF + FF)</t>
  </si>
  <si>
    <t>Two slabs</t>
  </si>
  <si>
    <t>RCC M25 Staircase (waist slab + steps)</t>
  </si>
  <si>
    <t>Includes flight + landing</t>
  </si>
  <si>
    <t>C. MASONRY MEASUREMENTS</t>
  </si>
  <si>
    <t>Brick masonry below GL (foundation)</t>
  </si>
  <si>
    <t>230mm wide</t>
  </si>
  <si>
    <t>Brick masonry 230mm - GF external walls</t>
  </si>
  <si>
    <t>Less openings</t>
  </si>
  <si>
    <t>Brick masonry 230mm - FF external walls</t>
  </si>
  <si>
    <t>Less: Door/Window openings deduction</t>
  </si>
  <si>
    <t>Deduction</t>
  </si>
  <si>
    <t>Half brick internal partition (GF + FF)</t>
  </si>
  <si>
    <t>115mm; net of openings</t>
  </si>
  <si>
    <t>D. PLASTER &amp; FINISHING MEASUREMENTS</t>
  </si>
  <si>
    <t>Internal plaster 12mm - walls (both sides)</t>
  </si>
  <si>
    <t>Net of openings</t>
  </si>
  <si>
    <t>External plaster 20mm</t>
  </si>
  <si>
    <t>Ceiling plaster (GF + FF)</t>
  </si>
  <si>
    <t>Ceiling area</t>
  </si>
  <si>
    <t>E. FLOORING MEASUREMENTS</t>
  </si>
  <si>
    <t>Vitrified flooring - bedrooms/living/kitchen</t>
  </si>
  <si>
    <t>Excl. toilets/balcony</t>
  </si>
  <si>
    <t>Anti-skid floor tiles - toilets/balcony</t>
  </si>
  <si>
    <t>Ceramic wall tiles in toilets (up to 2.1m)</t>
  </si>
  <si>
    <t>Toilet perimeter</t>
  </si>
  <si>
    <t>F. DOORS &amp; WINDOWS SCHEDULE</t>
  </si>
  <si>
    <t>Main Door (D1) - Teak 1.0x2.1m</t>
  </si>
  <si>
    <t>Internal flush doors (D2) 0.9x2.1m</t>
  </si>
  <si>
    <t>PVC toilet doors (D3) 0.75x2.0m</t>
  </si>
  <si>
    <t>Aluminum sliding windows (W1) 1.5x1.2m</t>
  </si>
  <si>
    <t>10 Nos.</t>
  </si>
  <si>
    <t>G. SUMMARY - TOTAL QUANTITIES BY CATEGORY</t>
  </si>
  <si>
    <t>Category</t>
  </si>
  <si>
    <t>Description</t>
  </si>
  <si>
    <t>Total Quantity</t>
  </si>
  <si>
    <t>Cross-Reference to BOQ</t>
  </si>
  <si>
    <t>Earthwork</t>
  </si>
  <si>
    <t>Total Excavation</t>
  </si>
  <si>
    <t>BOQ Section 1</t>
  </si>
  <si>
    <t>Concrete</t>
  </si>
  <si>
    <t>PCC + RCC Total</t>
  </si>
  <si>
    <t>BOQ Section 2</t>
  </si>
  <si>
    <t>Masonry</t>
  </si>
  <si>
    <t>Brick + Block Total</t>
  </si>
  <si>
    <t>BOQ Section 5</t>
  </si>
  <si>
    <t>Plaster</t>
  </si>
  <si>
    <t>All plastering</t>
  </si>
  <si>
    <t>BOQ Section 6</t>
  </si>
  <si>
    <t>Flooring</t>
  </si>
  <si>
    <t>Floor + Wall tiles</t>
  </si>
  <si>
    <t>BOQ Section 7</t>
  </si>
  <si>
    <t>Doors/Windows</t>
  </si>
  <si>
    <t>Total Openings</t>
  </si>
  <si>
    <t>BOQ Section 9</t>
  </si>
  <si>
    <t>MEASUREMENT NOTES (IS 1200)</t>
  </si>
  <si>
    <t>1. All measurements taken in metric units. 1 ft = 0.3048 m, 1 Sq.ft = 0.0929 Sq.m, 1 Cu.ft = 0.0283 Cu.m</t>
  </si>
  <si>
    <t>2. Deductions made for door/window openings as per IS 1200 (Plaster: opening area; Masonry: opening volume)</t>
  </si>
  <si>
    <t>3. RCC measurements exclude steel reinforcement (computed separately in BBS sheet)</t>
  </si>
  <si>
    <t>4. Wastage NOT included in quantity take-off - applied separately in BOQ rates</t>
  </si>
  <si>
    <t>5. Quantities are NET measurements. For payment purposes, refer to as-built drawings.</t>
  </si>
  <si>
    <t>RATE ANALYSIS - DETAILED COST BREAKDOWN</t>
  </si>
  <si>
    <t>As per CPWD Analysis of Rates 2024 + UP Market Survey May 2026</t>
  </si>
  <si>
    <t>Note: Rate Analysis covers Major BOQ items. All other rates derived similarly. Wastage, Overheads &amp; Profit included in derived rate.</t>
  </si>
  <si>
    <t>RA-01: RCC M20 GRADE CONCRETE (1:1.5:3) IN SLAB - per 1 Cu.m.</t>
  </si>
  <si>
    <t>A. MATERIALS</t>
  </si>
  <si>
    <t>Cement (OPC 43 Grade)</t>
  </si>
  <si>
    <t>@7.87 bags/cum</t>
  </si>
  <si>
    <t>River Sand (Zone-II)</t>
  </si>
  <si>
    <t>Net incl. bulking</t>
  </si>
  <si>
    <t>Coarse Aggregate 20mm</t>
  </si>
  <si>
    <t>Crushed stone</t>
  </si>
  <si>
    <t>Water (potable)</t>
  </si>
  <si>
    <t>Admixture (plasticizer)</t>
  </si>
  <si>
    <t>Sub-total Materials (a)</t>
  </si>
  <si>
    <t>B. LABOR</t>
  </si>
  <si>
    <t>Mason (skilled) - 1st class</t>
  </si>
  <si>
    <t>RCC work</t>
  </si>
  <si>
    <t>Mazdoor (unskilled)</t>
  </si>
  <si>
    <t>Mixing/handling</t>
  </si>
  <si>
    <t>Bhisti (water carrier)</t>
  </si>
  <si>
    <t>Curing</t>
  </si>
  <si>
    <t>Sub-total Labor (b)</t>
  </si>
  <si>
    <t>C. EQUIPMENT/TOOLS</t>
  </si>
  <si>
    <t>Concrete Mixer 0.5 cum (hire)</t>
  </si>
  <si>
    <t>Hour</t>
  </si>
  <si>
    <t>Incl. fuel</t>
  </si>
  <si>
    <t>Needle Vibrator (electric)</t>
  </si>
  <si>
    <t>Sundries (tools, planks)</t>
  </si>
  <si>
    <t>T&amp;P</t>
  </si>
  <si>
    <t>Sub-total Equipment (c)</t>
  </si>
  <si>
    <t>D. ADD-ONS (Wastage, Overheads, Profit)</t>
  </si>
  <si>
    <t>Wastage @ 3% on materials</t>
  </si>
  <si>
    <t>Material loss</t>
  </si>
  <si>
    <t>Lead &amp; Lift charges</t>
  </si>
  <si>
    <t>Within 20km</t>
  </si>
  <si>
    <t>Overheads @ 10%</t>
  </si>
  <si>
    <t>Site OH</t>
  </si>
  <si>
    <t>Contractor Profit @ 15%</t>
  </si>
  <si>
    <t>Sub-total Add-ons (d)</t>
  </si>
  <si>
    <t>TOTAL COST per Cu.m. (a+b+c+d)</t>
  </si>
  <si>
    <t>Say Round Rate (₹/Cu.m.)</t>
  </si>
  <si>
    <t>→ BOQ Item 2.6</t>
  </si>
  <si>
    <t>RA-02: BRICK MASONRY 230mm IN CM 1:6 - per 1 Cu.m.</t>
  </si>
  <si>
    <t>1st Class Bricks (230x110x70mm)</t>
  </si>
  <si>
    <t>500/Cum</t>
  </si>
  <si>
    <t>Cement OPC 43 Grade</t>
  </si>
  <si>
    <t>CM 1:6</t>
  </si>
  <si>
    <t>Sand (fine, sieved)</t>
  </si>
  <si>
    <t>Water</t>
  </si>
  <si>
    <t>Mason (skilled)</t>
  </si>
  <si>
    <t>Mazdoor</t>
  </si>
  <si>
    <t>Bhisti</t>
  </si>
  <si>
    <t>C. TOOLS &amp; SUNDRIES</t>
  </si>
  <si>
    <t>Sundries (trowel, plumb)</t>
  </si>
  <si>
    <t>Scaffolding (proportional)</t>
  </si>
  <si>
    <t>Hire</t>
  </si>
  <si>
    <t>Sub-total Tools (c)</t>
  </si>
  <si>
    <t>D. ADD-ONS</t>
  </si>
  <si>
    <t>Wastage @ 5%</t>
  </si>
  <si>
    <t>Breakage</t>
  </si>
  <si>
    <t>Profit @ 15%</t>
  </si>
  <si>
    <t>TOTAL COST per Cu.m.</t>
  </si>
  <si>
    <t>→ BOQ Item 5.2</t>
  </si>
  <si>
    <t>RA-03: EARTHWORK EXCAVATION IN ORDINARY SOIL (1.5m depth) - per 1 Cu.m.</t>
  </si>
  <si>
    <t>A. LABOR (Manual Excavation)</t>
  </si>
  <si>
    <t>Mazdoor (digging, dressing, ramming)</t>
  </si>
  <si>
    <t>Per Cum</t>
  </si>
  <si>
    <t>Mate/Supervisor</t>
  </si>
  <si>
    <t>Sub-total Labor (a)</t>
  </si>
  <si>
    <t>B. TOOLS &amp; DISPOSAL</t>
  </si>
  <si>
    <t>Sundries (pickaxe, basket)</t>
  </si>
  <si>
    <t>Disposal within 50m</t>
  </si>
  <si>
    <t>Manual cart</t>
  </si>
  <si>
    <t>Sub-total Tools (b)</t>
  </si>
  <si>
    <t>C. ADD-ONS</t>
  </si>
  <si>
    <t>Sub-total Add-ons (c)</t>
  </si>
  <si>
    <t>→ BOQ Item 1.2</t>
  </si>
  <si>
    <t>RA-04: 12mm CEMENT PLASTER CM 1:4 (INTERNAL WALLS) - per 1 Sq.m.</t>
  </si>
  <si>
    <t>Cement OPC 43</t>
  </si>
  <si>
    <t>12mm thick</t>
  </si>
  <si>
    <t>Sand (fine plastering)</t>
  </si>
  <si>
    <t>Wastage @ 3%</t>
  </si>
  <si>
    <t>TOTAL COST per Sq.m.</t>
  </si>
  <si>
    <t>Say Round Rate (₹/Sq.m.)</t>
  </si>
  <si>
    <t>→ BOQ Item 6.1</t>
  </si>
  <si>
    <t>RA-05: VITRIFIED TILE FLOORING 600x600mm (Premium) - per 1 Sq.m.</t>
  </si>
  <si>
    <t>Vitrified tile (premium 600x600)</t>
  </si>
  <si>
    <t>Cement for bed/slurry</t>
  </si>
  <si>
    <t>20mm bed</t>
  </si>
  <si>
    <t>Sand (fine)</t>
  </si>
  <si>
    <t>Spacers &amp; epoxy grout</t>
  </si>
  <si>
    <t>Tile Mason (skilled)</t>
  </si>
  <si>
    <t>Cutting wastage (corners)</t>
  </si>
  <si>
    <t>Polishing &amp; cleaning</t>
  </si>
  <si>
    <t>→ BOQ Item 7.1</t>
  </si>
  <si>
    <t>SUMMARY: DERIVED RATES vs BOQ APPLIED RATES</t>
  </si>
  <si>
    <t>Analyzed Rate (₹)</t>
  </si>
  <si>
    <t>BOQ Rate (₹)</t>
  </si>
  <si>
    <t>Variance %</t>
  </si>
  <si>
    <t>RCC M20 in Slabs</t>
  </si>
  <si>
    <t>BOQ 2.6</t>
  </si>
  <si>
    <t>Brick Masonry 230mm</t>
  </si>
  <si>
    <t>BOQ 5.2</t>
  </si>
  <si>
    <t>Earthwork Excavation</t>
  </si>
  <si>
    <t>BOQ 1.2</t>
  </si>
  <si>
    <t>12mm Plaster (Internal)</t>
  </si>
  <si>
    <t>BOQ 6.1</t>
  </si>
  <si>
    <t>Vitrified Tile Flooring</t>
  </si>
  <si>
    <t>BOQ 7.1</t>
  </si>
  <si>
    <t>NOTES: 1) Rates inclusive of wastage, overheads, profit. 2) GST applied separately in Abstract sheet. 3) Material coefficients per CPWD Analysis of Rates 2024. 4) Normal site conditions assumed for Lucknow, UP. 5) Rates valid 30 days from estimate date.</t>
  </si>
  <si>
    <t>BAR BENDING SCHEDULE (BBS)</t>
  </si>
  <si>
    <t>As per IS 2502:1963 | Steel: TMT Fe500 | Project: G+1 Residential, Lucknow UP</t>
  </si>
  <si>
    <t>Unit Weight Formula: W = D²/162.2 kg/m (where D = diameter in mm) | Lap Length = 50D | Development Length = 47D</t>
  </si>
  <si>
    <t>Member/Element</t>
  </si>
  <si>
    <t>Bar Mark</t>
  </si>
  <si>
    <t>Dia (mm)</t>
  </si>
  <si>
    <t>Length/bar (m)</t>
  </si>
  <si>
    <t>Total Length (m)</t>
  </si>
  <si>
    <t>Unit Wt (kg/m)</t>
  </si>
  <si>
    <t>Total Wt (kg)</t>
  </si>
  <si>
    <t>Shape Code</t>
  </si>
  <si>
    <t>A. FOUNDATION - ISOLATED FOOTINGS (12 Nos. 1200x1200x450mm)</t>
  </si>
  <si>
    <t>Footing Bottom-X</t>
  </si>
  <si>
    <t>F1-BX</t>
  </si>
  <si>
    <t>B-1</t>
  </si>
  <si>
    <t>12 cols x 8 bars X-dir</t>
  </si>
  <si>
    <t>Footing Bottom-Y</t>
  </si>
  <si>
    <t>F1-BY</t>
  </si>
  <si>
    <t>12 cols x 8 bars Y-dir</t>
  </si>
  <si>
    <t>Footing Top mesh</t>
  </si>
  <si>
    <t>F1-T</t>
  </si>
  <si>
    <t>Distribution</t>
  </si>
  <si>
    <t>Footing Dowels</t>
  </si>
  <si>
    <t>F1-DW</t>
  </si>
  <si>
    <t>L-1</t>
  </si>
  <si>
    <t>Column starter</t>
  </si>
  <si>
    <t>Sub-total Footings (kg)</t>
  </si>
  <si>
    <t>B. COLUMNS (12 Nos. 230x300mm, Total Ht 6.10m + lap)</t>
  </si>
  <si>
    <t>Column Main bars</t>
  </si>
  <si>
    <t>C1-M</t>
  </si>
  <si>
    <t>8 bars x 12 cols</t>
  </si>
  <si>
    <t>Column Lap bars</t>
  </si>
  <si>
    <t>C1-EX</t>
  </si>
  <si>
    <t>Lap = 50D at FL</t>
  </si>
  <si>
    <t>Column Stirrups (ends)</t>
  </si>
  <si>
    <t>C1-S1</t>
  </si>
  <si>
    <t>T-1</t>
  </si>
  <si>
    <t>@150mm c/c at ends</t>
  </si>
  <si>
    <t>Column Stirrups (mid)</t>
  </si>
  <si>
    <t>C1-S2</t>
  </si>
  <si>
    <t>@200mm c/c mid</t>
  </si>
  <si>
    <t>Sub-total Columns (kg)</t>
  </si>
  <si>
    <t>C. PLINTH BEAMS (230x300mm, Total Length 45m)</t>
  </si>
  <si>
    <t>Plinth Beam Top bars</t>
  </si>
  <si>
    <t>PB1-T</t>
  </si>
  <si>
    <t>Through length</t>
  </si>
  <si>
    <t>Plinth Beam Bot bars</t>
  </si>
  <si>
    <t>PB1-B</t>
  </si>
  <si>
    <t>Plinth Beam Lap</t>
  </si>
  <si>
    <t>PB1-EX</t>
  </si>
  <si>
    <t>Lap allowance</t>
  </si>
  <si>
    <t>Plinth Beam Stirrups</t>
  </si>
  <si>
    <t>PB1-S</t>
  </si>
  <si>
    <t>@150mm c/c</t>
  </si>
  <si>
    <t>Sub-total Plinth Beams (kg)</t>
  </si>
  <si>
    <t>D. ROOF/FLOOR BEAMS (230x350mm, GF+FF Total 120m)</t>
  </si>
  <si>
    <t>GF Beam Top bars</t>
  </si>
  <si>
    <t>RB1-T</t>
  </si>
  <si>
    <t>GF</t>
  </si>
  <si>
    <t>GF Beam Bot bars</t>
  </si>
  <si>
    <t>RB1-B</t>
  </si>
  <si>
    <t>FF Beam Top bars</t>
  </si>
  <si>
    <t>RB2-T</t>
  </si>
  <si>
    <t>FF</t>
  </si>
  <si>
    <t>FF Beam Bot bars</t>
  </si>
  <si>
    <t>RB2-B</t>
  </si>
  <si>
    <t>Beam Stirrups (both fl)</t>
  </si>
  <si>
    <t>RB-S</t>
  </si>
  <si>
    <t>Sub-total Roof Beams (kg)</t>
  </si>
  <si>
    <t>E. RCC SLABS (GF + FF, each 9.14 x 12.19m, 150mm)</t>
  </si>
  <si>
    <t>GF Slab Main (short way)</t>
  </si>
  <si>
    <t>S1-MB</t>
  </si>
  <si>
    <t>@100mm c/c</t>
  </si>
  <si>
    <t>GF Slab Distribution</t>
  </si>
  <si>
    <t>S1-MT</t>
  </si>
  <si>
    <t>GF Slab Top (negative)</t>
  </si>
  <si>
    <t>S1-T</t>
  </si>
  <si>
    <t>At supports</t>
  </si>
  <si>
    <t>FF Slab Main</t>
  </si>
  <si>
    <t>S2-MB</t>
  </si>
  <si>
    <t>FF Slab Distribution</t>
  </si>
  <si>
    <t>S2-MT</t>
  </si>
  <si>
    <t>FF Slab Top (negative)</t>
  </si>
  <si>
    <t>S2-T</t>
  </si>
  <si>
    <t>Sub-total Slabs (kg)</t>
  </si>
  <si>
    <t>F. STAIRCASE (Waist Slab + Steps)</t>
  </si>
  <si>
    <t>Waist slab main bars</t>
  </si>
  <si>
    <t>ST-M</t>
  </si>
  <si>
    <t>Waist slab distribution</t>
  </si>
  <si>
    <t>ST-D</t>
  </si>
  <si>
    <t>@200mm c/c</t>
  </si>
  <si>
    <t>Step bars</t>
  </si>
  <si>
    <t>ST-S</t>
  </si>
  <si>
    <t>Per step</t>
  </si>
  <si>
    <t>Sub-total Staircase (kg)</t>
  </si>
  <si>
    <t>G. LINTELS &amp; SUNSHADES (230x150mm)</t>
  </si>
  <si>
    <t>Lintel Top bars</t>
  </si>
  <si>
    <t>L1-T</t>
  </si>
  <si>
    <t>GF + FF</t>
  </si>
  <si>
    <t>Lintel Bottom bars</t>
  </si>
  <si>
    <t>L1-B</t>
  </si>
  <si>
    <t>Lintel Stirrups</t>
  </si>
  <si>
    <t>L1-S</t>
  </si>
  <si>
    <t>Chajja/sunshade reinf</t>
  </si>
  <si>
    <t>CH-1</t>
  </si>
  <si>
    <t>Window chajjas</t>
  </si>
  <si>
    <t>Sub-total Lintels (kg)</t>
  </si>
  <si>
    <t>STEEL SUMMARY BY DIAMETER</t>
  </si>
  <si>
    <t>Total Weight (kg)</t>
  </si>
  <si>
    <t>% of Total</t>
  </si>
  <si>
    <t>Primary Application</t>
  </si>
  <si>
    <t>Stirrups (Lintels)</t>
  </si>
  <si>
    <t>Stirrups (Col/Beam), Slab distribution</t>
  </si>
  <si>
    <t>Slab main bars, Lintel main</t>
  </si>
  <si>
    <t>Footings, Beam top, Staircase</t>
  </si>
  <si>
    <t>Column main, Beam bottom</t>
  </si>
  <si>
    <t>GRAND TOTAL STEEL (kg)</t>
  </si>
  <si>
    <t>Add: Wastage @ 3%</t>
  </si>
  <si>
    <t>Cutting losses</t>
  </si>
  <si>
    <t>TOTAL STEEL REQUIRED (kg)</t>
  </si>
  <si>
    <t>Round to nearest 10 kg</t>
  </si>
  <si>
    <t>TOTAL STEEL (TONNES)</t>
  </si>
  <si>
    <t>→ BOQ Section 4</t>
  </si>
  <si>
    <t>STEEL COST CALCULATION</t>
  </si>
  <si>
    <t>Total Steel (Tonnes)</t>
  </si>
  <si>
    <t>From summary above</t>
  </si>
  <si>
    <t>Avg. Rate per Tonne (₹) - Market</t>
  </si>
  <si>
    <t>Fe500 TMT avg</t>
  </si>
  <si>
    <t>Material Cost (₹)</t>
  </si>
  <si>
    <t>Steel material only</t>
  </si>
  <si>
    <t>Add: Cutting/Bending/Binding Labor (₹/Tonne)</t>
  </si>
  <si>
    <t>Standard rate</t>
  </si>
  <si>
    <t>Labor Cost (₹)</t>
  </si>
  <si>
    <t>Bar bender + helper</t>
  </si>
  <si>
    <t>TOTAL STEEL COST (₹)</t>
  </si>
  <si>
    <t>BBS NOTES &amp; FORMULAS (IS 2502:1963)</t>
  </si>
  <si>
    <t>1. Unit Weight (kg/m) = D² (mm²) / 162.2 | Example: 12mm bar = 12²/162.2 = 0.888 kg/m</t>
  </si>
  <si>
    <t>2. Lap Length: Tension = 50D | Compression = 40D | Stagger laps where possible</t>
  </si>
  <si>
    <t>3. Development Length (Ld): 47D for M20 + Fe500 (refer IS 456 Table 65)</t>
  </si>
  <si>
    <t>4. Hook Length for stirrups: 9D | Bend deduction = 2D per 90° bend</t>
  </si>
  <si>
    <t>5. Cover (clear): Footings 50mm | Columns 40mm | Beams 25mm | Slabs 20mm</t>
  </si>
  <si>
    <t>6. Shape Codes: B-1 = Straight bar | T-1 = Rectangular stirrup | L-1 = L-bent bar</t>
  </si>
  <si>
    <t>7. Wastage @ 3% covers cutting losses and additional overlaps not detailed above</t>
  </si>
  <si>
    <t>ABSTRACT OF COST - PROJECT FINANCIAL SUMMARY</t>
  </si>
  <si>
    <t>Consolidated Cost Statement | Project: Residential G+1 House, Lucknow UP</t>
  </si>
  <si>
    <t>Sq.ft</t>
  </si>
  <si>
    <t>Sq.m (Metric)</t>
  </si>
  <si>
    <t>Change toggle in Project_Info!C35</t>
  </si>
  <si>
    <t>Description of Section</t>
  </si>
  <si>
    <t>% Share</t>
  </si>
  <si>
    <t>PART A: BOQ SECTION-WISE TOTALS (CIVIL WORKS)</t>
  </si>
  <si>
    <t>Sec-1</t>
  </si>
  <si>
    <t>Earthwork (Site clearance, excavation, filling)</t>
  </si>
  <si>
    <t>Manual excavation</t>
  </si>
  <si>
    <t>Sec-2</t>
  </si>
  <si>
    <t>Concrete Works (PCC + RCC M20/M25)</t>
  </si>
  <si>
    <t>Slabs, beams, columns</t>
  </si>
  <si>
    <t>Sec-3</t>
  </si>
  <si>
    <t>Formwork &amp; Scaffolding</t>
  </si>
  <si>
    <t>Centering/shuttering</t>
  </si>
  <si>
    <t>Sec-4</t>
  </si>
  <si>
    <t>Reinforcement Steel (Fe500 TMT)</t>
  </si>
  <si>
    <t>Per BBS sheet</t>
  </si>
  <si>
    <t>Sec-5</t>
  </si>
  <si>
    <t>Masonry Work (Brick + Block)</t>
  </si>
  <si>
    <t>230 + 115mm walls</t>
  </si>
  <si>
    <t>Sec-6</t>
  </si>
  <si>
    <t>Finishing (Plaster + Painting)</t>
  </si>
  <si>
    <t>Internal + external</t>
  </si>
  <si>
    <t>Sec-7</t>
  </si>
  <si>
    <t>Flooring &amp; Tiling</t>
  </si>
  <si>
    <t>Vitrified + ceramic</t>
  </si>
  <si>
    <t>Sec-8</t>
  </si>
  <si>
    <t>Roofing &amp; Waterproofing</t>
  </si>
  <si>
    <t>Terrace treatment</t>
  </si>
  <si>
    <t>Sec-9</t>
  </si>
  <si>
    <t>Doors, Windows &amp; Woodwork</t>
  </si>
  <si>
    <t>All openings</t>
  </si>
  <si>
    <t>Sec-10</t>
  </si>
  <si>
    <t>Miscellaneous &amp; Provisional Items</t>
  </si>
  <si>
    <t>Plumbing, electrical</t>
  </si>
  <si>
    <t>SUB-TOTAL CIVIL WORKS (A)</t>
  </si>
  <si>
    <t>PART B: ADDITIONAL CHARGES (NOT IN BOQ)</t>
  </si>
  <si>
    <t>—</t>
  </si>
  <si>
    <t>Contingencies (unforeseen expenses)</t>
  </si>
  <si>
    <t>Site Establishment &amp; Mobilization</t>
  </si>
  <si>
    <t>Site office, storage</t>
  </si>
  <si>
    <t>Statutory Approvals &amp; Sanctions</t>
  </si>
  <si>
    <t>Building plan, NOCs</t>
  </si>
  <si>
    <t>Testing &amp; Quality Control</t>
  </si>
  <si>
    <t>Cube tests, soil test</t>
  </si>
  <si>
    <t>Insurance (Workmen + CAR)</t>
  </si>
  <si>
    <t>WC + CAR policy</t>
  </si>
  <si>
    <t>SUB-TOTAL ADD-ONS (B)</t>
  </si>
  <si>
    <t>TOTAL PROJECT COST BEFORE TAXES (A+B)</t>
  </si>
  <si>
    <t>Pre-GST</t>
  </si>
  <si>
    <t>PART C: GST CALCULATION (18% on Works Contract)</t>
  </si>
  <si>
    <t>CGST @ 9% (Central GST)</t>
  </si>
  <si>
    <t>Central</t>
  </si>
  <si>
    <t>SGST @ 9% (Uttar Pradesh State GST)</t>
  </si>
  <si>
    <t>State</t>
  </si>
  <si>
    <t>TOTAL GST @ 18% (C)</t>
  </si>
  <si>
    <t>Works Contract</t>
  </si>
  <si>
    <t>GRAND TOTAL PROJECT COST (A+B+C)</t>
  </si>
  <si>
    <t>All Inclusive</t>
  </si>
  <si>
    <t>Amount in Words:</t>
  </si>
  <si>
    <t>Rupees Thirty-Six Lakhs Approximately Only</t>
  </si>
  <si>
    <t>KEY COST INDICATORS (KPI)</t>
  </si>
  <si>
    <t>Indicator</t>
  </si>
  <si>
    <t>Benchmark/Note</t>
  </si>
  <si>
    <t>Cost per Sq.ft (Civil only)</t>
  </si>
  <si>
    <t>₹1,500-2,000 (UP avg)</t>
  </si>
  <si>
    <t>Cost per Sq.m (Civil only)</t>
  </si>
  <si>
    <t>₹16,000-22,000</t>
  </si>
  <si>
    <t>Cost per Sq.ft (All Inclusive)</t>
  </si>
  <si>
    <t>Including GST + Add-ons</t>
  </si>
  <si>
    <t>Steel Consumption (kg/Sq.ft)</t>
  </si>
  <si>
    <t>3.5-4.5 kg/sft typical</t>
  </si>
  <si>
    <t>Project Duration (months)</t>
  </si>
  <si>
    <t>Typical for G+1</t>
  </si>
  <si>
    <t>COST DISTRIBUTION: MATERIAL vs LABOR vs OVERHEADS</t>
  </si>
  <si>
    <t>Component</t>
  </si>
  <si>
    <t>Est. %</t>
  </si>
  <si>
    <t>Materials (Cement, Steel, Sand, Bricks, Tiles)</t>
  </si>
  <si>
    <t>Major material costs</t>
  </si>
  <si>
    <t>Labor (Skilled + Unskilled)</t>
  </si>
  <si>
    <t>All trades</t>
  </si>
  <si>
    <t>Equipment &amp; Tools</t>
  </si>
  <si>
    <t>Mixer, vibrator, scaffold</t>
  </si>
  <si>
    <t>Overheads &amp; Profit (in rates)</t>
  </si>
  <si>
    <t>Site OH + margin</t>
  </si>
  <si>
    <t>TOTAL</t>
  </si>
  <si>
    <t>ABSTRACT NOTES</t>
  </si>
  <si>
    <t>1. All amounts inclusive of materials, labor, wastage, overheads, and contractor profit unless specified.</t>
  </si>
  <si>
    <t>2. GST @ 18% applicable on works contract per CGST Act 2017 + UP State GST.</t>
  </si>
  <si>
    <t>3. Contingency @ 5% recommended for unforeseen site conditions and design variations.</t>
  </si>
  <si>
    <t>4. Statutory approvals, deposits, utility connections are EXTRA unless explicitly included.</t>
  </si>
  <si>
    <t>5. Cost per Sq.ft includes only civil works. Interior, modular furniture, external development not included.</t>
  </si>
  <si>
    <t>6. Estimate valid for 30 days. Material price fluctuations may impact final cost.</t>
  </si>
  <si>
    <t>7. Final billing on actual measurements (RA bills) per IS 1200 with mutually agreed rates.</t>
  </si>
  <si>
    <t>EXECUTIVE DASHBOARD - PROJECT COST SUMMARY</t>
  </si>
  <si>
    <t>Construction Estimator India | Residential G+1 House, Lucknow UP | 2026</t>
  </si>
  <si>
    <t>TOTAL PROJECT COST</t>
  </si>
  <si>
    <t>COST PER SQ.FT (All-In)</t>
  </si>
  <si>
    <t>TOTAL BUILT-UP AREA</t>
  </si>
  <si>
    <t>CIVIL WORKS (PRE-GST)</t>
  </si>
  <si>
    <t>GST (18%)</t>
  </si>
  <si>
    <t>STEEL CONSUMPTION</t>
  </si>
  <si>
    <t>SECTION-WISE COST DISTRIBUTION</t>
  </si>
  <si>
    <t>MATERIAL vs LABOR vs OVERHEADS</t>
  </si>
  <si>
    <t>Section</t>
  </si>
  <si>
    <t>Materials</t>
  </si>
  <si>
    <t>Concrete Works</t>
  </si>
  <si>
    <t>Labor</t>
  </si>
  <si>
    <t>Formwork</t>
  </si>
  <si>
    <t>Equipment</t>
  </si>
  <si>
    <t>Overheads/Profit</t>
  </si>
  <si>
    <t>Finishing</t>
  </si>
  <si>
    <t>Roofing &amp; WP</t>
  </si>
  <si>
    <t>Doors &amp; Windows</t>
  </si>
  <si>
    <t>Miscellaneous</t>
  </si>
  <si>
    <t>WHAT-IF ANALYSIS: Material Price Fluctuation Impact</t>
  </si>
  <si>
    <t>Scenario</t>
  </si>
  <si>
    <t>Cement %</t>
  </si>
  <si>
    <t>Steel %</t>
  </si>
  <si>
    <t>Sand %</t>
  </si>
  <si>
    <t>Civil Impact (₹)</t>
  </si>
  <si>
    <t>New Civil (₹)</t>
  </si>
  <si>
    <t>GST Impact (₹)</t>
  </si>
  <si>
    <t>New Grand Total (₹)</t>
  </si>
  <si>
    <t>Variance from Base</t>
  </si>
  <si>
    <t>Base Case</t>
  </si>
  <si>
    <t>Current estimate (reference)</t>
  </si>
  <si>
    <t>Mild Increase (+5%)</t>
  </si>
  <si>
    <t>Moderate (+10%)</t>
  </si>
  <si>
    <t>High Increase</t>
  </si>
  <si>
    <t>Worst Case</t>
  </si>
  <si>
    <t>Mild Decrease</t>
  </si>
  <si>
    <t>CASH FLOW PROJECTION (Monthly Disbursement)</t>
  </si>
  <si>
    <t>Month</t>
  </si>
  <si>
    <t>Stage</t>
  </si>
  <si>
    <t>% Cost</t>
  </si>
  <si>
    <t>Monthly (₹)</t>
  </si>
  <si>
    <t>Cumulative (₹)</t>
  </si>
  <si>
    <t>% Cumulative</t>
  </si>
  <si>
    <t>Major Activities</t>
  </si>
  <si>
    <t>Foundation</t>
  </si>
  <si>
    <t>Excavation, PCC, Footings, Plinth</t>
  </si>
  <si>
    <t>GF Columns</t>
  </si>
  <si>
    <t>Columns to plinth, Plinth beam</t>
  </si>
  <si>
    <t>GF Walls &amp; Roof</t>
  </si>
  <si>
    <t>GF Brickwork, GF Roof Slab</t>
  </si>
  <si>
    <t>FF Columns &amp; Walls</t>
  </si>
  <si>
    <t>FF Columns, FF Walls</t>
  </si>
  <si>
    <t>FF Roof &amp; Staircase</t>
  </si>
  <si>
    <t>FF Slab, Staircase, Parapet</t>
  </si>
  <si>
    <t>Plaster &amp; WP</t>
  </si>
  <si>
    <t>Plaster, Waterproofing</t>
  </si>
  <si>
    <t>All tile work, granite, kota</t>
  </si>
  <si>
    <t>Finishing &amp; Handover</t>
  </si>
  <si>
    <t>Paint, doors, plumbing, electrical, handover</t>
  </si>
  <si>
    <t>RISK REGISTER (Top 6 Project Risks)</t>
  </si>
  <si>
    <t>Risk ID</t>
  </si>
  <si>
    <t>Risk Description</t>
  </si>
  <si>
    <t>Probability</t>
  </si>
  <si>
    <t>Impact</t>
  </si>
  <si>
    <t>Score</t>
  </si>
  <si>
    <t>Mitigation</t>
  </si>
  <si>
    <t>Owner &amp; Action</t>
  </si>
  <si>
    <t>R1</t>
  </si>
  <si>
    <t>Material price escalation (cement/steel)</t>
  </si>
  <si>
    <t>High</t>
  </si>
  <si>
    <t>Lock prices in advance</t>
  </si>
  <si>
    <t>Site Engineer - Bulk procurement</t>
  </si>
  <si>
    <t>R2</t>
  </si>
  <si>
    <t>Monsoon delays (June-Sept)</t>
  </si>
  <si>
    <t>Medium</t>
  </si>
  <si>
    <t>Schedule slabs pre-monsoon</t>
  </si>
  <si>
    <t>PM - Tarpaulin/cover ready</t>
  </si>
  <si>
    <t>R3</t>
  </si>
  <si>
    <t>Labor shortage during harvest</t>
  </si>
  <si>
    <t>Engage labor contractor early</t>
  </si>
  <si>
    <t>HR - Multiple agencies</t>
  </si>
  <si>
    <t>R4</t>
  </si>
  <si>
    <t>Design changes by client</t>
  </si>
  <si>
    <t>Sign-off drawings before start</t>
  </si>
  <si>
    <t>Architect - Change order policy</t>
  </si>
  <si>
    <t>R5</t>
  </si>
  <si>
    <t>Statutory approval delays</t>
  </si>
  <si>
    <t>Low</t>
  </si>
  <si>
    <t>Apply early, weekly follow-up</t>
  </si>
  <si>
    <t>Liaison - Pre-application</t>
  </si>
  <si>
    <t>R6</t>
  </si>
  <si>
    <t>Soil bearing capacity issues</t>
  </si>
  <si>
    <t>Confirm soil test before excavation</t>
  </si>
  <si>
    <t>Structural Engineer</t>
  </si>
  <si>
    <t>EXECUTIVE SUMMARY</t>
  </si>
  <si>
    <t>Project: Residential G+1 House (1,800 Sq.ft built-up) at Lucknow, Uttar Pradesh. Total Project Cost: ₹36,17,930 inclusive of 18% GST and 5% contingencies. Civil construction estimated at ₹28,31,469 covering all 10 standard BOQ sections per CPWD specifications. Steel consumption 6.18 tonnes (3.43 kg/sqft), well within industry benchmarks. Major cost centers: Concrete Works (15.6%), Miscellaneous services (15.9%), and Reinforcement (14.7%). Project duration estimated at 8 months with monthly cash flow projections. Recommended to lock material prices early and complete slab works before monsoon to mitigate top risks. Cost per Sq.ft. all-inclusive ₹2,010 - within UP residential benchmark range. Estimate valid 30 days. Contractor profit 15%, overheads 10% per CPWD standards.</t>
  </si>
  <si>
    <t>© 2026 Construction Estimator India | Lucknow, UP | Accurate Estimates | Smart Solutions | www.constructionestimatorindia.com</t>
  </si>
  <si>
    <t>TERMS &amp; CONDITIONS - CONSTRUCTION CONTRACT</t>
  </si>
  <si>
    <t>Construction Estimator India | Effective Date: 27-May-2026 | Valid for 30 days</t>
  </si>
  <si>
    <t>Terms &amp; Conditions</t>
  </si>
  <si>
    <t>Reference</t>
  </si>
  <si>
    <t>1. PAYMENT TERMS</t>
  </si>
  <si>
    <t>Advance Payment</t>
  </si>
  <si>
    <t>20% of estimated value as mobilization advance against bank guarantee, payable within 7 days of work order issuance.</t>
  </si>
  <si>
    <t>Clause 1.1</t>
  </si>
  <si>
    <t>Progress Payments</t>
  </si>
  <si>
    <t>Monthly Running Account (RA) bills based on actual work executed and certified by Engineer-in-Charge. Payment within 15 days of bill submission.</t>
  </si>
  <si>
    <t>Retention Money</t>
  </si>
  <si>
    <t>5% of each RA bill retained as Security Deposit, released as: 50% on completion, 50% after Defect Liability Period (12 months).</t>
  </si>
  <si>
    <t>CPWD norm</t>
  </si>
  <si>
    <t>Final Payment</t>
  </si>
  <si>
    <t>Final bill within 60 days of completion certificate. Subject to verification of all measurements, quality tests, and statutory clearances.</t>
  </si>
  <si>
    <t>Clause 1.4</t>
  </si>
  <si>
    <t>Mode of Payment</t>
  </si>
  <si>
    <t>Payment via NEFT/RTGS only. Cash payments not accepted above ₹10,000 per IT Act Section 40A(3).</t>
  </si>
  <si>
    <t>IT Act</t>
  </si>
  <si>
    <t>2. SCOPE &amp; MEASUREMENT</t>
  </si>
  <si>
    <t>All measurements as per IS 1200 (Method of Measurement of Building &amp; Civil Engineering Works).</t>
  </si>
  <si>
    <t>Specifications</t>
  </si>
  <si>
    <t>Workmanship and materials shall conform to CPWD Specifications 2019 (Vol. 1 &amp; 2) and applicable Indian Standards.</t>
  </si>
  <si>
    <t>CPWD Spec</t>
  </si>
  <si>
    <t>Drawings</t>
  </si>
  <si>
    <t>Construction strictly per architectural and structural drawings issued by registered Architect/Structural Engineer. Any deviation requires written approval.</t>
  </si>
  <si>
    <t>Clause 2.3</t>
  </si>
  <si>
    <t>Variation Orders</t>
  </si>
  <si>
    <t>Variations up to ±10% of contract value admissible at agreed rates. Beyond 10%, rates may be renegotiated.</t>
  </si>
  <si>
    <t>Clause 2.4</t>
  </si>
  <si>
    <t>Extra Items</t>
  </si>
  <si>
    <t>Items not in BOQ but required for completion shall be paid at mutually agreed rates derived from CPWD DSR 2024 or market rates.</t>
  </si>
  <si>
    <t>DSR 2024</t>
  </si>
  <si>
    <t>3. QUALITY &amp; TESTING</t>
  </si>
  <si>
    <t>Cement Quality</t>
  </si>
  <si>
    <t>Only ISI marked OPC/PPC from approved brands (UltraTech, ACC, Ambuja, Shree, Birla). Test certificates required for each batch.</t>
  </si>
  <si>
    <t>IS 269/IS 1489</t>
  </si>
  <si>
    <t>Steel Quality</t>
  </si>
  <si>
    <t>Fe500/Fe500D TMT bars from primary producers (TATA, SAIL, JSW). Mill test certificates required. Random samples tested per IS 1786.</t>
  </si>
  <si>
    <t>IS 1786</t>
  </si>
  <si>
    <t>Concrete Testing</t>
  </si>
  <si>
    <t>Minimum 3 cube tests per 30 cum or per day's pour. 28-day strength must meet specified grade. Failed batches to be re-tested and rectified.</t>
  </si>
  <si>
    <t>IS 516, IS 456</t>
  </si>
  <si>
    <t>Soil Testing</t>
  </si>
  <si>
    <t>Soil bearing capacity test to be conducted before foundation design finalization. SBC certificate to be submitted.</t>
  </si>
  <si>
    <t>IS 1888</t>
  </si>
  <si>
    <t>Third-Party Inspection</t>
  </si>
  <si>
    <t>Owner reserves right to appoint third-party inspector at any stage. Costs borne by contractor if defects found.</t>
  </si>
  <si>
    <t>Clause 3.5</t>
  </si>
  <si>
    <t>4. TIMELINE &amp; PENALTIES</t>
  </si>
  <si>
    <t>Project Duration</t>
  </si>
  <si>
    <t>8 months from work commencement date. Detailed schedule per cash flow in Dashboard sheet.</t>
  </si>
  <si>
    <t>Clause 4.1</t>
  </si>
  <si>
    <t>Liquidated Damages</t>
  </si>
  <si>
    <t>0.5% of contract value per week of delay (beyond grace period), max 5% of contract value.</t>
  </si>
  <si>
    <t>Clause 4.2</t>
  </si>
  <si>
    <t>Force Majeure</t>
  </si>
  <si>
    <t>Delays due to natural calamities, government orders, strikes, or pandemic to be granted extension without penalty.</t>
  </si>
  <si>
    <t>Clause 4.3</t>
  </si>
  <si>
    <t>Monsoon Allowance</t>
  </si>
  <si>
    <t>30 days extension granted for monsoon (June 15 - Sept 15) without LD if slab/external works affected.</t>
  </si>
  <si>
    <t>UP Climate</t>
  </si>
  <si>
    <t>5. STATUTORY COMPLIANCE</t>
  </si>
  <si>
    <t>GST Registration</t>
  </si>
  <si>
    <t>Contractor must hold valid GSTIN. Tax invoices with GSTIN mandatory for all payments. Reverse charge mechanism not applicable.</t>
  </si>
  <si>
    <t>GST Act 2017</t>
  </si>
  <si>
    <t>Labor Laws</t>
  </si>
  <si>
    <t>Compliance with Minimum Wages Act, EPF, ESI, BOCW Cess (1% of cost). Workers must hold valid identity proof.</t>
  </si>
  <si>
    <t>Multiple Acts</t>
  </si>
  <si>
    <t>Safety</t>
  </si>
  <si>
    <t>PPE mandatory for all workers (helmets, safety shoes, harnesses). Safety net for working above 3m height.</t>
  </si>
  <si>
    <t>BOCW Act</t>
  </si>
  <si>
    <t>Insurance</t>
  </si>
  <si>
    <t>Contractor's All Risk (CAR) policy and Workmen Compensation policy covering entire project duration mandatory.</t>
  </si>
  <si>
    <t>Insurance Act</t>
  </si>
  <si>
    <t>Environmental</t>
  </si>
  <si>
    <t>Dust control, debris management, water sprinkling as per NGT/local pollution board norms.</t>
  </si>
  <si>
    <t>NGT Orders</t>
  </si>
  <si>
    <t>6. DEFECT LIABILITY &amp; WARRANTY</t>
  </si>
  <si>
    <t>Defect Liability Period</t>
  </si>
  <si>
    <t>12 months from date of practical completion. All defects in workmanship/materials rectified at contractor's cost.</t>
  </si>
  <si>
    <t>Clause 6.1</t>
  </si>
  <si>
    <t>Waterproofing Warranty</t>
  </si>
  <si>
    <t>5 years against terrace leakage with annual inspection. Re-treatment if leakage observed.</t>
  </si>
  <si>
    <t>Clause 6.2</t>
  </si>
  <si>
    <t>Structural Warranty</t>
  </si>
  <si>
    <t>10 years against structural defects from date of completion as per RERA guidelines.</t>
  </si>
  <si>
    <t>RERA Act 2016</t>
  </si>
  <si>
    <t>Material Warranty</t>
  </si>
  <si>
    <t>Manufacturer's warranty applies to fittings, fixtures, tiles, sanitaryware. Original bills to be handed over.</t>
  </si>
  <si>
    <t>Clause 6.4</t>
  </si>
  <si>
    <t>7. DISPUTE RESOLUTION</t>
  </si>
  <si>
    <t>Amicable Settlement</t>
  </si>
  <si>
    <t>Disputes first to be resolved by mutual discussion within 30 days.</t>
  </si>
  <si>
    <t>Clause 7.1</t>
  </si>
  <si>
    <t>Arbitration</t>
  </si>
  <si>
    <t>Unresolved disputes referred to sole arbitrator under Arbitration &amp; Conciliation Act 1996 (as amended).</t>
  </si>
  <si>
    <t>A&amp;C Act 1996</t>
  </si>
  <si>
    <t>Jurisdiction</t>
  </si>
  <si>
    <t>Subject to courts at Lucknow, Uttar Pradesh only.</t>
  </si>
  <si>
    <t>Clause 7.3</t>
  </si>
  <si>
    <t>8. EXCLUSIONS (NOT IN ESTIMATE)</t>
  </si>
  <si>
    <t>Land &amp; Approvals</t>
  </si>
  <si>
    <t>Land cost, plot registration, building plan sanction fees, development charges - by Owner.</t>
  </si>
  <si>
    <t>Owner Scope</t>
  </si>
  <si>
    <t>Utilities</t>
  </si>
  <si>
    <t>Electrical service connection, water connection, sewer connection fees by Owner.</t>
  </si>
  <si>
    <t>Interior Works</t>
  </si>
  <si>
    <t>Modular kitchen, wardrobes, false ceiling, lighting fixtures, furniture - separate scope.</t>
  </si>
  <si>
    <t>External Works</t>
  </si>
  <si>
    <t>Compound boundary wall (beyond provision), landscaping, gate, paving - separate scope.</t>
  </si>
  <si>
    <t>Lifts/Elevators</t>
  </si>
  <si>
    <t>Not included in current estimate.</t>
  </si>
  <si>
    <t>Solar/MEP</t>
  </si>
  <si>
    <t>Solar panels, water tanks beyond 1000L, RO/UV systems - separate scope.</t>
  </si>
  <si>
    <t>ACCEPTANCE &amp; SIGNATURES</t>
  </si>
  <si>
    <t>Client Acceptance</t>
  </si>
  <si>
    <t>Contractor Acceptance</t>
  </si>
  <si>
    <t>Name: __________________ Date: ___________</t>
  </si>
  <si>
    <t>Designation: ____________ Signature: _________</t>
  </si>
  <si>
    <t>Authorized Signatory Construction Estimator India</t>
  </si>
  <si>
    <t>© 2026 Construction Estimator India | All Rights Reserved | These terms supersede any prior agreements</t>
  </si>
  <si>
    <t>REVISION HISTORY - DOCUMENT CONTROL LOG</t>
  </si>
  <si>
    <t>Construction Estimator India | Estimate Document Tracking | ISO 9001 Compliant</t>
  </si>
  <si>
    <t>Rev No.</t>
  </si>
  <si>
    <t>Date</t>
  </si>
  <si>
    <t>Prepared By</t>
  </si>
  <si>
    <t>Approved By</t>
  </si>
  <si>
    <t>Description of Changes / Reason for Revision</t>
  </si>
  <si>
    <t>Status</t>
  </si>
  <si>
    <t>K.Singh (Sr. QS)</t>
  </si>
  <si>
    <t>R.Verma (PM)</t>
  </si>
  <si>
    <t>Initial estimate prepared based on architectural drawings dated 25-Apr-2026 and structural design dated 28-Apr-2026. Market rates from May 2026 survey of Lucknow UP region.</t>
  </si>
  <si>
    <t>ISSUED</t>
  </si>
  <si>
    <t>10-May-2026</t>
  </si>
  <si>
    <t>Updated steel rates from ₹76,500/MT to ₹78,500/MT as per market correction. Revised cement to OPC 43 (was 53). Re-calculated BBS for revised column dimensions.</t>
  </si>
  <si>
    <t>[Future revision placeholder - update on client comments]</t>
  </si>
  <si>
    <t>PENDING</t>
  </si>
  <si>
    <t>[Future revision placeholder]</t>
  </si>
  <si>
    <t>[Future revision placeholder - final approved version]</t>
  </si>
  <si>
    <t>REVISION GUIDELINES &amp; PROTOCOL</t>
  </si>
  <si>
    <t>Aspect</t>
  </si>
  <si>
    <t>Description / Protocol</t>
  </si>
  <si>
    <t>Revision Numbering</t>
  </si>
  <si>
    <t>R0 = Initial issue | R1, R2... = Subsequent revisions | RF = Final approved | After RF, use change orders (CO-01, CO-02)</t>
  </si>
  <si>
    <t>Frequency</t>
  </si>
  <si>
    <t>Revisions issued upon: design changes, scope additions, market rate updates &gt;5%, client comments, statutory changes</t>
  </si>
  <si>
    <t>Approval Authority</t>
  </si>
  <si>
    <t>Sr. QS prepares, Project Manager checks, Technical Director approves changes &gt;₹50,000 or &gt;2% of contract</t>
  </si>
  <si>
    <t>Each revision distributed to: Client, Architect, Structural Engineer, Site Engineer, Accounts (PDF + Excel)</t>
  </si>
  <si>
    <t>All revisions archived in project folder. Latest version supersedes all previous. Maintained for 7 years per Companies Act.</t>
  </si>
  <si>
    <t>Change Highlight</t>
  </si>
  <si>
    <t>Changes from previous revision highlighted in YELLOW with cross-reference in this log</t>
  </si>
  <si>
    <t>STATUS LEGEND</t>
  </si>
  <si>
    <t>Under preparation - not for execution</t>
  </si>
  <si>
    <t>Approved and released for client review/work order</t>
  </si>
  <si>
    <t>REVISED</t>
  </si>
  <si>
    <t>Updated with changes - supersedes previous version</t>
  </si>
  <si>
    <t>APPROVED</t>
  </si>
  <si>
    <t>Client-signed copy - basis for contract</t>
  </si>
  <si>
    <t>Awaiting input or future revision slot</t>
  </si>
  <si>
    <t>OBSOLETE</t>
  </si>
  <si>
    <t>Superseded - retain for record only</t>
  </si>
  <si>
    <t>DOCUMENT METADATA</t>
  </si>
  <si>
    <t>Document Number:</t>
  </si>
  <si>
    <t>Current Revision:</t>
  </si>
  <si>
    <t>Current Status:</t>
  </si>
  <si>
    <t>Total Project Cost:</t>
  </si>
  <si>
    <t>Document Owner:</t>
  </si>
  <si>
    <t>Construction Estimator India - QS Department</t>
  </si>
  <si>
    <t>Last Updated:</t>
  </si>
  <si>
    <t>Next Review Due:</t>
  </si>
  <si>
    <t>26-Jun-2026</t>
  </si>
  <si>
    <t>INSTRUCTIONS FOR USE OF THIS TEMPLATE</t>
  </si>
  <si>
    <t>1. INPUT CELLS: Yellow-highlighted cells (#FFF2CC) are user-editable. All other cells are formula-driven - DO NOT overwrite.</t>
  </si>
  <si>
    <t>2. RATE TOGGLE: Change rate source (DSR/Market) in Project_Info!C35. All sheets auto-update.</t>
  </si>
  <si>
    <t>3. UPDATE MARKET RATES: Update Column G in Market_Rates sheet monthly. Applied Rate column auto-recalculates.</t>
  </si>
  <si>
    <t>4. ADD BOQ ITEMS: Insert rows within section ranges. Ensure SUM formulas in subtotal rows include new rows.</t>
  </si>
  <si>
    <t>5. PROTECTION: Sheet protection recommended - allow only Yellow input cells. Password: project-specific.</t>
  </si>
  <si>
    <t>6. PDF EXPORT: Use File &gt; Export &gt; PDF. Select 'Workbook' for full document. Set print area in each sheet.</t>
  </si>
  <si>
    <t>7. REVISION CONTROL: Log each change in this sheet (Rev R1, R2...). Save copies with naming: CEI_EST_2026_001_R[X].xlsx</t>
  </si>
  <si>
    <t>8. BACKUP: Save backup before each revision. Cloud backup recommended (Google Drive/OneDrive).</t>
  </si>
  <si>
    <t>© 2026 Construction Estimator India | Lucknow, UP | Accurate Estimates | Smart Solutions</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</si>
</sst>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2536" formatCode="yyyy-mm-dd"/>
    <numFmt numFmtId="2538" formatCode="₹ #,##0"/>
    <numFmt numFmtId="2539" formatCode="#,##0.000"/>
    <numFmt numFmtId="2681" formatCode="0.0%"/>
    <numFmt numFmtId="2698" formatCode="₹#,##0"/>
    <numFmt numFmtId="2699" formatCode="₹#,##0.00"/>
    <numFmt numFmtId="2722" formatCode="&quot;₹&quot;#,##0"/>
    <numFmt numFmtId="2733" formatCode="&quot;₹&quot;#,##0;[Red]-&quot;₹&quot;#,##0"/>
  </numFmts>
  <fonts count="44">
    <font>
      <sz val="11"/>
      <color theme="1"/>
      <name val="Calibri"/>
      <scheme val="minor"/>
    </font>
    <font>
      <b/>
      <i val="0"/>
      <sz val="28"/>
      <color rgb="FFFFFFFF"/>
      <name val="Calibri"/>
    </font>
    <font>
      <b val="0"/>
      <i/>
      <sz val="14"/>
      <color rgb="FFFFFFFF"/>
      <name val="Calibri"/>
    </font>
    <font>
      <b/>
      <i val="0"/>
      <sz val="18"/>
      <name val="Calibri"/>
    </font>
    <font>
      <b val="0"/>
      <i/>
      <sz val="12"/>
      <name val="Calibri"/>
    </font>
    <font>
      <b/>
      <i val="0"/>
      <sz val="11"/>
      <name val="Calibri"/>
    </font>
    <font>
      <b val="0"/>
      <i val="0"/>
      <sz val="11"/>
      <name val="Calibri"/>
    </font>
    <font>
      <b/>
      <i val="0"/>
      <sz val="14"/>
      <color rgb="FFFFFFFF"/>
      <name val="Calibri"/>
    </font>
    <font>
      <b val="0"/>
      <i/>
      <sz val="10"/>
      <name val="Calibri"/>
    </font>
    <font>
      <b val="0"/>
      <i/>
      <sz val="9"/>
      <color rgb="FF808080"/>
      <name val="Calibri"/>
    </font>
    <font>
      <b/>
      <i val="0"/>
      <sz val="18"/>
      <color rgb="FFFFFFFF"/>
      <name val="Calibri"/>
    </font>
    <font>
      <b/>
      <i val="0"/>
      <sz val="12"/>
      <color rgb="FFFFFFFF"/>
      <name val="Calibri"/>
    </font>
    <font>
      <b val="0"/>
      <i/>
      <sz val="11"/>
      <color rgb="FF808080"/>
      <name val="Calibri"/>
    </font>
    <font>
      <b val="0"/>
      <i/>
      <sz val="10"/>
      <color rgb="FFFFFFFF"/>
      <name val="Calibri"/>
    </font>
    <font>
      <b/>
      <i val="0"/>
      <sz val="10"/>
      <name val="Calibri"/>
    </font>
    <font>
      <b/>
      <i val="0"/>
      <sz val="11"/>
      <color rgb="FFFFFFFF"/>
      <name val="Calibri"/>
    </font>
    <font>
      <b val="0"/>
      <i val="0"/>
      <sz val="10"/>
      <name val="Calibri"/>
    </font>
    <font>
      <b val="0"/>
      <i/>
      <sz val="9"/>
      <color rgb="FF7F7F7F"/>
      <name val="Calibri"/>
    </font>
    <font>
      <b/>
      <i val="0"/>
      <sz val="12"/>
      <name val="Calibri"/>
    </font>
    <font>
      <b val="0"/>
      <i val="0"/>
      <sz val="9"/>
      <name val="Calibri"/>
    </font>
    <font>
      <b val="0"/>
      <i/>
      <sz val="9"/>
      <color rgb="FF595959"/>
      <name val="Calibri"/>
    </font>
    <font>
      <b/>
      <i val="0"/>
      <sz val="11"/>
      <color rgb="FF1F4E79"/>
      <name val="Calibri"/>
    </font>
    <font>
      <name val="Calibri"/>
      <scheme val="minor"/>
    </font>
    <font>
      <b/>
      <i val="0"/>
      <sz val="10"/>
      <color rgb="FF000000"/>
      <name val="Calibri"/>
    </font>
    <font>
      <b/>
      <i val="0"/>
      <sz val="13"/>
      <color rgb="FFFFFFFF"/>
      <name val="Calibri"/>
    </font>
    <font>
      <b val="0"/>
      <i/>
      <sz val="10"/>
      <color rgb="FF595959"/>
      <name val="Calibri"/>
    </font>
    <font>
      <b val="0"/>
      <i/>
      <sz val="11"/>
      <name val="Calibri"/>
    </font>
    <font>
      <b/>
      <i val="0"/>
      <sz val="9"/>
      <name val="Calibri"/>
    </font>
    <font>
      <b/>
      <i val="0"/>
      <sz val="16"/>
      <color rgb="FFFFFFFF"/>
      <name val="Calibri"/>
    </font>
    <font>
      <b val="0"/>
      <i/>
      <sz val="11"/>
      <color rgb="FFFFFFFF"/>
      <name val="Calibri"/>
    </font>
    <font>
      <b/>
      <i/>
      <sz val="11"/>
      <name val="Calibri"/>
    </font>
    <font>
      <b/>
      <i val="0"/>
      <sz val="20"/>
      <color rgb="FFFFFFFF"/>
      <name val="Calibri"/>
    </font>
    <font>
      <b val="0"/>
      <i/>
      <sz val="11"/>
      <color rgb="FFFFFFFF"/>
      <name val="Calibri"/>
    </font>
    <font>
      <b/>
      <i val="0"/>
      <sz val="11"/>
      <color rgb="FFFFFFFF"/>
      <name val="Calibri"/>
    </font>
    <font>
      <b/>
      <i val="0"/>
      <sz val="22"/>
      <color rgb="FFC00000"/>
      <name val="Calibri"/>
    </font>
    <font>
      <b/>
      <i val="0"/>
      <sz val="22"/>
      <color rgb="FF385723"/>
      <name val="Calibri"/>
    </font>
    <font>
      <b/>
      <i val="0"/>
      <sz val="22"/>
      <color rgb="FF1F4E79"/>
      <name val="Calibri"/>
    </font>
    <font>
      <b/>
      <i val="0"/>
      <sz val="18"/>
      <color rgb="FF1F4E79"/>
      <name val="Calibri"/>
    </font>
    <font>
      <b/>
      <i val="0"/>
      <sz val="18"/>
      <color rgb="FF385723"/>
      <name val="Calibri"/>
    </font>
    <font>
      <b/>
      <i val="0"/>
      <sz val="18"/>
      <color rgb="FFC00000"/>
      <name val="Calibri"/>
    </font>
    <font>
      <b/>
      <i val="0"/>
      <sz val="12"/>
      <color rgb="FFFFFFFF"/>
      <name val="Calibri"/>
    </font>
    <font>
      <b/>
      <i val="0"/>
      <sz val="13"/>
      <color rgb="FFFFFFFF"/>
      <name val="Calibri"/>
    </font>
    <font>
      <b/>
      <i val="0"/>
      <sz val="10"/>
      <color rgb="FFFFFFFF"/>
      <name val="Calibri"/>
    </font>
    <font>
      <b/>
      <i val="0"/>
      <sz val="14"/>
      <color rgb="FFFFFFFF"/>
      <name val="Calibri"/>
    </font>
  </fonts>
  <fills count="21">
    <fill>
      <patternFill patternType="none"/>
    </fill>
    <fill>
      <patternFill patternType="gray125"/>
    </fill>
    <fill>
      <patternFill patternType="solid">
        <fgColor rgb="FF1F4E79"/>
      </patternFill>
    </fill>
    <fill>
      <patternFill patternType="solid">
        <fgColor rgb="FF2E75B6"/>
      </patternFill>
    </fill>
    <fill>
      <patternFill patternType="solid">
        <fgColor rgb="FFD9E1F2"/>
      </patternFill>
    </fill>
    <fill>
      <patternFill patternType="solid">
        <fgColor rgb="FFF2F2F2"/>
      </patternFill>
    </fill>
    <fill>
      <patternFill patternType="solid">
        <fgColor rgb="FFFFFFFF"/>
      </patternFill>
    </fill>
    <fill>
      <patternFill patternType="solid">
        <fgColor rgb="FF385723"/>
      </patternFill>
    </fill>
    <fill>
      <patternFill patternType="solid">
        <fgColor rgb="FFE7E6E6"/>
      </patternFill>
    </fill>
    <fill>
      <patternFill patternType="solid">
        <fgColor rgb="FFFFF2CC"/>
      </patternFill>
    </fill>
    <fill>
      <patternFill patternType="solid">
        <fgColor rgb="FFF8F9FA"/>
      </patternFill>
    </fill>
    <fill>
      <patternFill patternType="solid">
        <fgColor rgb="FFC00000"/>
      </patternFill>
    </fill>
    <fill>
      <patternFill patternType="solid">
        <fgColor rgb="FFDDEBF7"/>
      </patternFill>
    </fill>
    <fill>
      <patternFill patternType="solid">
        <fgColor rgb="FFE2EFDA"/>
      </patternFill>
    </fill>
    <fill>
      <patternFill patternType="solid">
        <fgColor rgb="FFFCE4D6"/>
      </patternFill>
    </fill>
    <fill>
      <patternFill patternType="solid">
        <fgColor rgb="FFFFFFFF"/>
      </patternFill>
    </fill>
    <fill>
      <patternFill patternType="solid">
        <fgColor rgb="FFFFCCCC"/>
      </patternFill>
    </fill>
    <fill>
      <patternFill patternType="solid">
        <fgColor rgb="FFFFE699"/>
      </patternFill>
    </fill>
    <fill>
      <patternFill patternType="solid">
        <fgColor rgb="FFC6EFCE"/>
      </patternFill>
    </fill>
    <fill>
      <patternFill patternType="solid">
        <fgColor rgb="FFBDD7EE"/>
      </patternFill>
    </fill>
    <fill>
      <patternFill patternType="solid">
        <fgColor rgb="FF92D050"/>
      </patternFill>
    </fill>
  </fills>
  <borders count="10">
    <border>
      <left/>
      <right/>
      <top/>
      <bottom/>
    </border>
    <border>
      <left>
        <color rgb="FF000000"/>
      </left>
      <right>
        <color rgb="FF000000"/>
      </right>
      <top>
        <color rgb="FF000000"/>
      </top>
      <bottom>
        <color rgb="FF000000"/>
      </bottom>
    </border>
    <border>
      <left style="thick">
        <color rgb="FF000000"/>
      </left>
      <right style="thick">
        <color rgb="FF000000"/>
      </right>
      <top style="thick">
        <color rgb="FF000000"/>
      </top>
      <bottom style="thick">
        <color rgb="FF000000"/>
      </bottom>
    </border>
    <border>
      <left style="thin">
        <color rgb="FF000000"/>
      </left>
      <right style="thin">
        <color rgb="FF000000"/>
      </right>
      <top style="thin">
        <color rgb="FF000000"/>
      </top>
      <bottom style="thin">
        <color rgb="FF000000"/>
      </bottom>
    </border>
    <border>
      <left style="thin">
        <color rgb="FFBFBFBF"/>
      </left>
      <right style="thin">
        <color rgb="FFBFBFBF"/>
      </right>
      <top style="thin">
        <color rgb="FFBFBFBF"/>
      </top>
      <bottom style="thin">
        <color rgb="FFBFBFBF"/>
      </bottom>
    </border>
    <border>
      <left style="thin">
        <color rgb="FF000000"/>
      </left>
      <right style="thin">
        <color rgb="FF000000"/>
      </right>
      <top style="medium">
        <color rgb="FF000000"/>
      </top>
      <bottom style="medium">
        <color rgb="FF000000"/>
      </bottom>
    </border>
    <border>
      <left style="medium">
        <color rgb="FF000000"/>
      </left>
      <right style="medium">
        <color rgb="FF000000"/>
      </right>
      <top style="medium">
        <color rgb="FF000000"/>
      </top>
      <bottom style="medium">
        <color rgb="FF000000"/>
      </bottom>
    </border>
    <border>
      <left style="thin">
        <color rgb="FF000000"/>
      </left>
      <right style="thin">
        <color rgb="FF000000"/>
      </right>
      <top style="thin">
        <color rgb="FF000000"/>
      </top>
      <bottom style="thin">
        <color rgb="FF000000"/>
      </bottom>
    </border>
    <border>
      <left style="thick">
        <color rgb="FF1F4E79"/>
      </left>
      <right style="thick">
        <color rgb="FF1F4E79"/>
      </right>
      <top style="thick">
        <color rgb="FF1F4E79"/>
      </top>
      <bottom style="thick">
        <color rgb="FF1F4E79"/>
      </bottom>
    </border>
    <border>
      <left style="thin">
        <color rgb="FF808080"/>
      </left>
      <right style="thin">
        <color rgb="FF808080"/>
      </right>
      <top style="thin">
        <color rgb="FF808080"/>
      </top>
      <bottom style="thin">
        <color rgb="FF808080"/>
      </bottom>
    </border>
  </borders>
  <cellStyleXfs count="1">
    <xf numFmtId="0" fontId="0" fillId="0" borderId="1">
      <alignment horizontal="general" vertical="top"/>
    </xf>
  </cellStyleXfs>
  <cellXfs count="272">
    <xf numFmtId="0" fontId="0" fillId="0" borderId="1" xfId="0">
      <alignment vertical="top"/>
    </xf>
    <xf numFmtId="0" fontId="1" fillId="2" borderId="2" xfId="0">
      <alignment horizontal="center" vertical="center"/>
    </xf>
    <xf numFmtId="0" fontId="2" fillId="3" borderId="3" xfId="0">
      <alignment horizontal="center" vertical="center"/>
    </xf>
    <xf numFmtId="0" fontId="3" fillId="4" borderId="3" xfId="0">
      <alignment horizontal="center" vertical="center"/>
    </xf>
    <xf numFmtId="0" fontId="4" fillId="5" borderId="3" xfId="0">
      <alignment horizontal="center" vertical="center"/>
    </xf>
    <xf numFmtId="0" fontId="5" fillId="4" borderId="3" xfId="0">
      <alignment vertical="center"/>
    </xf>
    <xf numFmtId="0" fontId="6" fillId="6" borderId="3" xfId="0">
      <alignment vertical="center"/>
    </xf>
    <xf numFmtId="0" fontId="7" fillId="7" borderId="3" xfId="0">
      <alignment horizontal="center" vertical="center"/>
    </xf>
    <xf numFmtId="0" fontId="5" fillId="8" borderId="3" xfId="0">
      <alignment vertical="center"/>
    </xf>
    <xf numFmtId="0" fontId="5" fillId="8" borderId="3" xfId="0">
      <alignment vertical="top"/>
    </xf>
    <xf numFmtId="0" fontId="6" fillId="6" borderId="3" xfId="0">
      <alignment vertical="top"/>
    </xf>
    <xf numFmtId="0" fontId="7" fillId="2" borderId="3" xfId="0">
      <alignment horizontal="center" vertical="center"/>
    </xf>
    <xf numFmtId="0" fontId="5" fillId="9" borderId="3" xfId="0">
      <alignment vertical="top"/>
    </xf>
    <xf numFmtId="0" fontId="8" fillId="5" borderId="3" xfId="0">
      <alignment vertical="top"/>
    </xf>
    <xf numFmtId="0" fontId="9" fillId="0" borderId="0" xfId="0">
      <alignment horizontal="center" vertical="top"/>
    </xf>
    <xf numFmtId="0" fontId="10" fillId="2" borderId="3" xfId="0">
      <alignment horizontal="center" vertical="center"/>
    </xf>
    <xf numFmtId="0" fontId="11" fillId="3" borderId="3" xfId="0">
      <alignment horizontal="center" vertical="center"/>
    </xf>
    <xf numFmtId="0" fontId="5" fillId="4" borderId="3" xfId="0">
      <alignment horizontal="center" vertical="center"/>
    </xf>
    <xf numFmtId="0" fontId="5" fillId="6" borderId="3" xfId="0">
      <alignment vertical="center"/>
    </xf>
    <xf numFmtId="0" fontId="5" fillId="10" borderId="3" xfId="0">
      <alignment vertical="center"/>
    </xf>
    <xf numFmtId="0" fontId="6" fillId="10" borderId="3" xfId="0">
      <alignment vertical="center"/>
    </xf>
    <xf numFmtId="0" fontId="5" fillId="4" borderId="3" xfId="0">
      <alignment horizontal="center" vertical="top"/>
    </xf>
    <xf numFmtId="10" fontId="6" fillId="6" borderId="3" xfId="0">
      <alignment vertical="center"/>
    </xf>
    <xf numFmtId="10" fontId="6" fillId="10" borderId="3" xfId="0">
      <alignment vertical="center"/>
    </xf>
    <xf numFmtId="0" fontId="11" fillId="3" borderId="3" xfId="0">
      <alignment horizontal="center" vertical="top"/>
    </xf>
    <xf numFmtId="0" fontId="5" fillId="9" borderId="3" xfId="0">
      <alignment horizontal="center" vertical="top"/>
    </xf>
    <xf numFmtId="0" fontId="12" fillId="0" borderId="3" xfId="0">
      <alignment vertical="top"/>
    </xf>
    <xf numFmtId="2536" fontId="6" fillId="6" borderId="3" xfId="0">
      <alignment vertical="top"/>
    </xf>
    <xf numFmtId="0" fontId="5" fillId="6" borderId="3" xfId="0">
      <alignment vertical="top"/>
    </xf>
    <xf numFmtId="0" fontId="5" fillId="10" borderId="3" xfId="0">
      <alignment vertical="top"/>
    </xf>
    <xf numFmtId="0" fontId="6" fillId="10" borderId="3" xfId="0">
      <alignment vertical="top"/>
    </xf>
    <xf numFmtId="0" fontId="10" fillId="2" borderId="0" xfId="0">
      <alignment horizontal="center" vertical="center"/>
    </xf>
    <xf numFmtId="0" fontId="13" fillId="3" borderId="0" xfId="0">
      <alignment horizontal="center" vertical="center"/>
    </xf>
    <xf numFmtId="0" fontId="14" fillId="4" borderId="3" xfId="0">
      <alignment horizontal="right" vertical="center"/>
    </xf>
    <xf numFmtId="0" fontId="14" fillId="9" borderId="3" xfId="0">
      <alignment horizontal="center" vertical="center"/>
    </xf>
    <xf numFmtId="0" fontId="15" fillId="2" borderId="3" xfId="0">
      <alignment horizontal="center" vertical="center"/>
    </xf>
    <xf numFmtId="0" fontId="15" fillId="7" borderId="0" xfId="0">
      <alignment horizontal="center" vertical="center"/>
    </xf>
    <xf numFmtId="0" fontId="16" fillId="10" borderId="4" xfId="0">
      <alignment horizontal="center" vertical="center"/>
    </xf>
    <xf numFmtId="0" fontId="16" fillId="10" borderId="4" xfId="0">
      <alignment horizontal="left" vertical="center"/>
    </xf>
    <xf numFmtId="4" fontId="16" fillId="10" borderId="4" xfId="0">
      <alignment horizontal="right" vertical="center"/>
    </xf>
    <xf numFmtId="4" fontId="14" fillId="9" borderId="4" xfId="0">
      <alignment horizontal="right" vertical="center"/>
    </xf>
    <xf numFmtId="2" fontId="16" fillId="10" borderId="4" xfId="0">
      <alignment horizontal="center" vertical="center"/>
    </xf>
    <xf numFmtId="0" fontId="16" fillId="6" borderId="4" xfId="0">
      <alignment horizontal="center" vertical="center"/>
    </xf>
    <xf numFmtId="0" fontId="16" fillId="6" borderId="4" xfId="0">
      <alignment horizontal="left" vertical="center"/>
    </xf>
    <xf numFmtId="4" fontId="16" fillId="6" borderId="4" xfId="0">
      <alignment horizontal="right" vertical="center"/>
    </xf>
    <xf numFmtId="2" fontId="16" fillId="6" borderId="4" xfId="0">
      <alignment horizontal="center" vertical="center"/>
    </xf>
    <xf numFmtId="0" fontId="15" fillId="11" borderId="0" xfId="0">
      <alignment horizontal="center" vertical="center"/>
    </xf>
    <xf numFmtId="0" fontId="8" fillId="9" borderId="3" xfId="0">
      <alignment horizontal="left" vertical="center"/>
    </xf>
    <xf numFmtId="0" fontId="17" fillId="0" borderId="0" xfId="0">
      <alignment horizontal="center" vertical="center"/>
    </xf>
    <xf numFmtId="0" fontId="5" fillId="12" borderId="3" xfId="0">
      <alignment horizontal="right" vertical="center"/>
    </xf>
    <xf numFmtId="0" fontId="5" fillId="9" borderId="3" xfId="0">
      <alignment horizontal="center" vertical="center"/>
    </xf>
    <xf numFmtId="2538" fontId="18" fillId="9" borderId="3" xfId="0">
      <alignment horizontal="center" vertical="center"/>
    </xf>
    <xf numFmtId="0" fontId="11" fillId="7" borderId="3" xfId="0">
      <alignment horizontal="center" vertical="center"/>
    </xf>
    <xf numFmtId="0" fontId="14" fillId="6" borderId="3" xfId="0">
      <alignment horizontal="center" vertical="center"/>
    </xf>
    <xf numFmtId="0" fontId="19" fillId="6" borderId="3" xfId="0">
      <alignment horizontal="center" vertical="center"/>
    </xf>
    <xf numFmtId="0" fontId="16" fillId="6" borderId="3" xfId="0">
      <alignment horizontal="left" vertical="center"/>
    </xf>
    <xf numFmtId="0" fontId="16" fillId="6" borderId="3" xfId="0">
      <alignment horizontal="center" vertical="center"/>
    </xf>
    <xf numFmtId="4" fontId="16" fillId="6" borderId="3" xfId="0">
      <alignment horizontal="right" vertical="center"/>
    </xf>
    <xf numFmtId="3" fontId="14" fillId="6" borderId="3" xfId="0">
      <alignment horizontal="right" vertical="center"/>
    </xf>
    <xf numFmtId="0" fontId="20" fillId="6" borderId="3" xfId="0">
      <alignment horizontal="left" vertical="center"/>
    </xf>
    <xf numFmtId="0" fontId="14" fillId="10" borderId="3" xfId="0">
      <alignment horizontal="center" vertical="center"/>
    </xf>
    <xf numFmtId="0" fontId="19" fillId="10" borderId="3" xfId="0">
      <alignment horizontal="center" vertical="center"/>
    </xf>
    <xf numFmtId="0" fontId="16" fillId="10" borderId="3" xfId="0">
      <alignment horizontal="left" vertical="center"/>
    </xf>
    <xf numFmtId="0" fontId="16" fillId="10" borderId="3" xfId="0">
      <alignment horizontal="center" vertical="center"/>
    </xf>
    <xf numFmtId="4" fontId="16" fillId="10" borderId="3" xfId="0">
      <alignment horizontal="right" vertical="center"/>
    </xf>
    <xf numFmtId="3" fontId="14" fillId="10" borderId="3" xfId="0">
      <alignment horizontal="right" vertical="center"/>
    </xf>
    <xf numFmtId="0" fontId="20" fillId="10" borderId="3" xfId="0">
      <alignment horizontal="left" vertical="center"/>
    </xf>
    <xf numFmtId="0" fontId="5" fillId="9" borderId="5" xfId="0">
      <alignment horizontal="right" vertical="center"/>
    </xf>
    <xf numFmtId="3" fontId="21" fillId="9" borderId="5" xfId="0">
      <alignment horizontal="right" vertical="center"/>
    </xf>
    <xf numFmtId="0" fontId="22" fillId="9" borderId="5" xfId="0">
      <alignment vertical="top"/>
    </xf>
    <xf numFmtId="0" fontId="7" fillId="2" borderId="2" xfId="0">
      <alignment horizontal="right" vertical="center"/>
    </xf>
    <xf numFmtId="3" fontId="7" fillId="11" borderId="2" xfId="0">
      <alignment horizontal="right" vertical="center"/>
    </xf>
    <xf numFmtId="0" fontId="22" fillId="2" borderId="2" xfId="0">
      <alignment vertical="top"/>
    </xf>
    <xf numFmtId="0" fontId="23" fillId="9" borderId="3" xfId="0">
      <alignment horizontal="center" vertical="center"/>
    </xf>
    <xf numFmtId="0" fontId="11" fillId="7" borderId="0" xfId="0">
      <alignment horizontal="center" vertical="center"/>
    </xf>
    <xf numFmtId="0" fontId="14" fillId="6" borderId="3" xfId="0">
      <alignment horizontal="center" vertical="top"/>
    </xf>
    <xf numFmtId="0" fontId="19" fillId="6" borderId="3" xfId="0">
      <alignment horizontal="center" vertical="top"/>
    </xf>
    <xf numFmtId="0" fontId="16" fillId="6" borderId="3" xfId="0">
      <alignment horizontal="left" vertical="top"/>
    </xf>
    <xf numFmtId="1" fontId="16" fillId="6" borderId="3" xfId="0">
      <alignment horizontal="center" vertical="top"/>
    </xf>
    <xf numFmtId="2539" fontId="16" fillId="6" borderId="3" xfId="0">
      <alignment horizontal="right" vertical="top"/>
    </xf>
    <xf numFmtId="4" fontId="14" fillId="9" borderId="3" xfId="0">
      <alignment horizontal="right" vertical="top"/>
    </xf>
    <xf numFmtId="0" fontId="20" fillId="6" borderId="3" xfId="0">
      <alignment horizontal="left" vertical="top"/>
    </xf>
    <xf numFmtId="0" fontId="14" fillId="10" borderId="3" xfId="0">
      <alignment horizontal="center" vertical="top"/>
    </xf>
    <xf numFmtId="0" fontId="19" fillId="10" borderId="3" xfId="0">
      <alignment horizontal="center" vertical="top"/>
    </xf>
    <xf numFmtId="0" fontId="16" fillId="10" borderId="3" xfId="0">
      <alignment horizontal="left" vertical="top"/>
    </xf>
    <xf numFmtId="1" fontId="16" fillId="10" borderId="3" xfId="0">
      <alignment horizontal="center" vertical="top"/>
    </xf>
    <xf numFmtId="2539" fontId="16" fillId="10" borderId="3" xfId="0">
      <alignment horizontal="right" vertical="top"/>
    </xf>
    <xf numFmtId="0" fontId="20" fillId="10" borderId="3" xfId="0">
      <alignment horizontal="left" vertical="top"/>
    </xf>
    <xf numFmtId="0" fontId="14" fillId="9" borderId="3" xfId="0">
      <alignment horizontal="right" vertical="center"/>
    </xf>
    <xf numFmtId="0" fontId="11" fillId="2" borderId="0" xfId="0">
      <alignment horizontal="center" vertical="center"/>
    </xf>
    <xf numFmtId="0" fontId="15" fillId="3" borderId="3" xfId="0">
      <alignment horizontal="center" vertical="center"/>
    </xf>
    <xf numFmtId="0" fontId="5" fillId="9" borderId="3" xfId="0">
      <alignment horizontal="left" vertical="center"/>
    </xf>
    <xf numFmtId="4" fontId="5" fillId="9" borderId="3" xfId="0">
      <alignment horizontal="right" vertical="center"/>
    </xf>
    <xf numFmtId="0" fontId="15" fillId="3" borderId="0" xfId="0">
      <alignment horizontal="center" vertical="center"/>
    </xf>
    <xf numFmtId="0" fontId="8" fillId="5" borderId="3" xfId="0">
      <alignment horizontal="left" vertical="center"/>
    </xf>
    <xf numFmtId="0" fontId="24" fillId="2" borderId="3" xfId="0">
      <alignment horizontal="center" vertical="center"/>
    </xf>
    <xf numFmtId="0" fontId="15" fillId="7" borderId="3" xfId="0">
      <alignment horizontal="left" vertical="center"/>
    </xf>
    <xf numFmtId="0" fontId="14" fillId="0" borderId="3" xfId="0">
      <alignment horizontal="center" vertical="center"/>
    </xf>
    <xf numFmtId="0" fontId="16" fillId="0" borderId="3" xfId="0">
      <alignment horizontal="left" vertical="center"/>
    </xf>
    <xf numFmtId="0" fontId="16" fillId="0" borderId="3" xfId="0">
      <alignment horizontal="center" vertical="center"/>
    </xf>
    <xf numFmtId="2539" fontId="16" fillId="0" borderId="3" xfId="0">
      <alignment horizontal="right" vertical="center"/>
    </xf>
    <xf numFmtId="4" fontId="16" fillId="0" borderId="3" xfId="0">
      <alignment horizontal="right" vertical="center"/>
    </xf>
    <xf numFmtId="4" fontId="14" fillId="0" borderId="3" xfId="0">
      <alignment horizontal="right" vertical="center"/>
    </xf>
    <xf numFmtId="0" fontId="20" fillId="0" borderId="3" xfId="0">
      <alignment horizontal="left" vertical="center"/>
    </xf>
    <xf numFmtId="0" fontId="5" fillId="13" borderId="3" xfId="0">
      <alignment horizontal="right" vertical="center"/>
    </xf>
    <xf numFmtId="4" fontId="5" fillId="13" borderId="3" xfId="0">
      <alignment horizontal="right" vertical="center"/>
    </xf>
    <xf numFmtId="10" fontId="16" fillId="0" borderId="3" xfId="0">
      <alignment horizontal="right" vertical="center"/>
    </xf>
    <xf numFmtId="0" fontId="24" fillId="2" borderId="6" xfId="0">
      <alignment horizontal="right" vertical="center"/>
    </xf>
    <xf numFmtId="3" fontId="7" fillId="11" borderId="6" xfId="0">
      <alignment horizontal="right" vertical="center"/>
    </xf>
    <xf numFmtId="0" fontId="5" fillId="9" borderId="3" xfId="0">
      <alignment horizontal="right" vertical="center"/>
    </xf>
    <xf numFmtId="3" fontId="5" fillId="9" borderId="3" xfId="0">
      <alignment horizontal="right" vertical="center"/>
    </xf>
    <xf numFmtId="0" fontId="7" fillId="2" borderId="6" xfId="0">
      <alignment horizontal="center" vertical="center"/>
    </xf>
    <xf numFmtId="10" fontId="14" fillId="6" borderId="3" xfId="0">
      <alignment horizontal="center" vertical="center"/>
    </xf>
    <xf numFmtId="10" fontId="14" fillId="10" borderId="3" xfId="0">
      <alignment horizontal="center" vertical="center"/>
    </xf>
    <xf numFmtId="0" fontId="8" fillId="5" borderId="3" xfId="0">
      <alignment horizontal="left" vertical="top"/>
    </xf>
    <xf numFmtId="0" fontId="22" fillId="9" borderId="3" xfId="0">
      <alignment vertical="top"/>
    </xf>
    <xf numFmtId="0" fontId="15" fillId="3" borderId="4" xfId="0">
      <alignment horizontal="center" vertical="center"/>
    </xf>
    <xf numFmtId="0" fontId="5" fillId="6" borderId="4" xfId="0">
      <alignment horizontal="center" vertical="center"/>
    </xf>
    <xf numFmtId="1" fontId="5" fillId="6" borderId="4" xfId="0">
      <alignment horizontal="center" vertical="center"/>
    </xf>
    <xf numFmtId="2539" fontId="22" fillId="6" borderId="4" xfId="0">
      <alignment horizontal="right" vertical="center"/>
    </xf>
    <xf numFmtId="4" fontId="5" fillId="6" borderId="4" xfId="0">
      <alignment horizontal="right" vertical="center"/>
    </xf>
    <xf numFmtId="4" fontId="5" fillId="9" borderId="4" xfId="0">
      <alignment horizontal="right" vertical="center"/>
    </xf>
    <xf numFmtId="10" fontId="5" fillId="6" borderId="4" xfId="0">
      <alignment horizontal="center" vertical="center"/>
    </xf>
    <xf numFmtId="0" fontId="20" fillId="6" borderId="4" xfId="0">
      <alignment horizontal="left" vertical="center"/>
    </xf>
    <xf numFmtId="0" fontId="5" fillId="10" borderId="4" xfId="0">
      <alignment horizontal="center" vertical="center"/>
    </xf>
    <xf numFmtId="1" fontId="5" fillId="10" borderId="4" xfId="0">
      <alignment horizontal="center" vertical="center"/>
    </xf>
    <xf numFmtId="2539" fontId="22" fillId="10" borderId="4" xfId="0">
      <alignment horizontal="right" vertical="center"/>
    </xf>
    <xf numFmtId="4" fontId="5" fillId="10" borderId="4" xfId="0">
      <alignment horizontal="right" vertical="center"/>
    </xf>
    <xf numFmtId="10" fontId="5" fillId="10" borderId="4" xfId="0">
      <alignment horizontal="center" vertical="center"/>
    </xf>
    <xf numFmtId="0" fontId="20" fillId="10" borderId="4" xfId="0">
      <alignment horizontal="left" vertical="center"/>
    </xf>
    <xf numFmtId="0" fontId="11" fillId="2" borderId="6" xfId="0">
      <alignment horizontal="right" vertical="center"/>
    </xf>
    <xf numFmtId="10" fontId="15" fillId="2" borderId="6" xfId="0">
      <alignment horizontal="center" vertical="center"/>
    </xf>
    <xf numFmtId="0" fontId="22" fillId="2" borderId="6" xfId="0">
      <alignment vertical="top"/>
    </xf>
    <xf numFmtId="0" fontId="5" fillId="9" borderId="4" xfId="0">
      <alignment horizontal="right" vertical="center"/>
    </xf>
    <xf numFmtId="3" fontId="5" fillId="9" borderId="4" xfId="0">
      <alignment horizontal="right" vertical="center"/>
    </xf>
    <xf numFmtId="0" fontId="22" fillId="9" borderId="4" xfId="0">
      <alignment vertical="top"/>
    </xf>
    <xf numFmtId="0" fontId="8" fillId="9" borderId="4" xfId="0">
      <alignment horizontal="left" vertical="center"/>
    </xf>
    <xf numFmtId="0" fontId="11" fillId="7" borderId="6" xfId="0">
      <alignment horizontal="right" vertical="center"/>
    </xf>
    <xf numFmtId="3" fontId="7" fillId="7" borderId="6" xfId="0">
      <alignment horizontal="right" vertical="center"/>
    </xf>
    <xf numFmtId="0" fontId="22" fillId="7" borderId="6" xfId="0">
      <alignment vertical="top"/>
    </xf>
    <xf numFmtId="0" fontId="13" fillId="7" borderId="6" xfId="0">
      <alignment horizontal="left" vertical="center"/>
    </xf>
    <xf numFmtId="2539" fontId="7" fillId="7" borderId="6" xfId="0">
      <alignment horizontal="right" vertical="center"/>
    </xf>
    <xf numFmtId="0" fontId="24" fillId="2" borderId="6" xfId="0">
      <alignment horizontal="center" vertical="center"/>
    </xf>
    <xf numFmtId="0" fontId="5" fillId="0" borderId="4" xfId="0">
      <alignment horizontal="right" vertical="center"/>
    </xf>
    <xf numFmtId="2539" fontId="5" fillId="0" borderId="4" xfId="0">
      <alignment horizontal="right" vertical="center"/>
    </xf>
    <xf numFmtId="0" fontId="22" fillId="0" borderId="4" xfId="0">
      <alignment vertical="top"/>
    </xf>
    <xf numFmtId="0" fontId="25" fillId="0" borderId="4" xfId="0">
      <alignment horizontal="left" vertical="center"/>
    </xf>
    <xf numFmtId="3" fontId="5" fillId="0" borderId="4" xfId="0">
      <alignment horizontal="right" vertical="center"/>
    </xf>
    <xf numFmtId="0" fontId="11" fillId="11" borderId="6" xfId="0">
      <alignment horizontal="right" vertical="center"/>
    </xf>
    <xf numFmtId="0" fontId="22" fillId="11" borderId="6" xfId="0">
      <alignment vertical="top"/>
    </xf>
    <xf numFmtId="0" fontId="13" fillId="11" borderId="6" xfId="0">
      <alignment horizontal="left" vertical="center"/>
    </xf>
    <xf numFmtId="0" fontId="11" fillId="3" borderId="6" xfId="0">
      <alignment horizontal="left" vertical="center"/>
    </xf>
    <xf numFmtId="0" fontId="8" fillId="5" borderId="4" xfId="0">
      <alignment horizontal="left" vertical="center" indent="1"/>
    </xf>
    <xf numFmtId="0" fontId="5" fillId="9" borderId="7" xfId="0">
      <alignment horizontal="center" vertical="center"/>
    </xf>
    <xf numFmtId="3" fontId="5" fillId="9" borderId="7" xfId="0">
      <alignment horizontal="center" vertical="center"/>
    </xf>
    <xf numFmtId="0" fontId="26" fillId="9" borderId="7" xfId="0">
      <alignment horizontal="center" vertical="center"/>
    </xf>
    <xf numFmtId="4" fontId="5" fillId="9" borderId="7" xfId="0">
      <alignment horizontal="center" vertical="center"/>
    </xf>
    <xf numFmtId="0" fontId="8" fillId="9" borderId="7" xfId="0">
      <alignment horizontal="center" vertical="center"/>
    </xf>
    <xf numFmtId="0" fontId="15" fillId="2" borderId="6" xfId="0">
      <alignment horizontal="center" vertical="center"/>
    </xf>
    <xf numFmtId="0" fontId="14" fillId="6" borderId="4" xfId="0">
      <alignment horizontal="center" vertical="center"/>
    </xf>
    <xf numFmtId="0" fontId="27" fillId="6" borderId="4" xfId="0">
      <alignment horizontal="center" vertical="center"/>
    </xf>
    <xf numFmtId="3" fontId="14" fillId="10" borderId="4" xfId="0">
      <alignment horizontal="right" vertical="center"/>
    </xf>
    <xf numFmtId="2681" fontId="8" fillId="6" borderId="4" xfId="0">
      <alignment horizontal="center" vertical="center"/>
    </xf>
    <xf numFmtId="0" fontId="14" fillId="10" borderId="4" xfId="0">
      <alignment horizontal="center" vertical="center"/>
    </xf>
    <xf numFmtId="0" fontId="27" fillId="10" borderId="4" xfId="0">
      <alignment horizontal="center" vertical="center"/>
    </xf>
    <xf numFmtId="2681" fontId="8" fillId="10" borderId="4" xfId="0">
      <alignment horizontal="center" vertical="center"/>
    </xf>
    <xf numFmtId="10" fontId="11" fillId="2" borderId="6" xfId="0">
      <alignment horizontal="center" vertical="center"/>
    </xf>
    <xf numFmtId="0" fontId="13" fillId="2" borderId="6" xfId="0">
      <alignment horizontal="left" vertical="center"/>
    </xf>
    <xf numFmtId="0" fontId="7" fillId="3" borderId="6" xfId="0">
      <alignment horizontal="right" vertical="center"/>
    </xf>
    <xf numFmtId="3" fontId="28" fillId="3" borderId="6" xfId="0">
      <alignment horizontal="right" vertical="center"/>
    </xf>
    <xf numFmtId="0" fontId="13" fillId="3" borderId="6" xfId="0">
      <alignment horizontal="left" vertical="center"/>
    </xf>
    <xf numFmtId="0" fontId="28" fillId="11" borderId="2" xfId="0">
      <alignment horizontal="right" vertical="center"/>
    </xf>
    <xf numFmtId="2698" fontId="10" fillId="11" borderId="2" xfId="0">
      <alignment horizontal="right" vertical="center"/>
    </xf>
    <xf numFmtId="0" fontId="29" fillId="11" borderId="2" xfId="0">
      <alignment horizontal="left" vertical="center"/>
    </xf>
    <xf numFmtId="0" fontId="30" fillId="9" borderId="3" xfId="0">
      <alignment horizontal="center" vertical="center"/>
    </xf>
    <xf numFmtId="0" fontId="15" fillId="3" borderId="6" xfId="0">
      <alignment horizontal="center" vertical="center"/>
    </xf>
    <xf numFmtId="2699" fontId="14" fillId="10" borderId="4" xfId="0">
      <alignment horizontal="right" vertical="center"/>
    </xf>
    <xf numFmtId="2698" fontId="14" fillId="10" borderId="4" xfId="0">
      <alignment horizontal="right" vertical="center"/>
    </xf>
    <xf numFmtId="4" fontId="14" fillId="10" borderId="4" xfId="0">
      <alignment horizontal="right" vertical="center"/>
    </xf>
    <xf numFmtId="2539" fontId="14" fillId="10" borderId="4" xfId="0">
      <alignment horizontal="right" vertical="center"/>
    </xf>
    <xf numFmtId="9" fontId="16" fillId="6" borderId="4" xfId="0">
      <alignment horizontal="center" vertical="center"/>
    </xf>
    <xf numFmtId="9" fontId="16" fillId="10" borderId="4" xfId="0">
      <alignment horizontal="center" vertical="center"/>
    </xf>
    <xf numFmtId="10" fontId="5" fillId="9" borderId="4" xfId="0">
      <alignment horizontal="center" vertical="center"/>
    </xf>
    <xf numFmtId="0" fontId="15" fillId="3" borderId="6" xfId="0">
      <alignment horizontal="left" vertical="center"/>
    </xf>
    <xf numFmtId="0" fontId="31" fillId="2" borderId="8" xfId="0">
      <alignment horizontal="center" vertical="center"/>
    </xf>
    <xf numFmtId="0" fontId="32" fillId="3" borderId="0" xfId="0">
      <alignment horizontal="center" vertical="center"/>
    </xf>
    <xf numFmtId="0" fontId="33" fillId="2" borderId="8" xfId="0">
      <alignment horizontal="center" vertical="center"/>
    </xf>
    <xf numFmtId="0" fontId="33" fillId="7" borderId="8" xfId="0">
      <alignment horizontal="center" vertical="center"/>
    </xf>
    <xf numFmtId="0" fontId="33" fillId="11" borderId="8" xfId="0">
      <alignment horizontal="center" vertical="center"/>
    </xf>
    <xf numFmtId="0" fontId="34" fillId="9" borderId="8" xfId="0">
      <alignment horizontal="center" vertical="center"/>
    </xf>
    <xf numFmtId="0" fontId="35" fillId="13" borderId="8" xfId="0">
      <alignment horizontal="center" vertical="center"/>
    </xf>
    <xf numFmtId="0" fontId="36" fillId="12" borderId="8" xfId="0">
      <alignment horizontal="center" vertical="center"/>
    </xf>
    <xf numFmtId="0" fontId="37" fillId="12" borderId="8" xfId="0">
      <alignment horizontal="center" vertical="center"/>
    </xf>
    <xf numFmtId="0" fontId="38" fillId="13" borderId="8" xfId="0">
      <alignment horizontal="center" vertical="center"/>
    </xf>
    <xf numFmtId="0" fontId="39" fillId="14" borderId="8" xfId="0">
      <alignment horizontal="center" vertical="center"/>
    </xf>
    <xf numFmtId="0" fontId="40" fillId="2" borderId="9" xfId="0">
      <alignment horizontal="center" vertical="center"/>
    </xf>
    <xf numFmtId="0" fontId="40" fillId="7" borderId="9" xfId="0">
      <alignment horizontal="center" vertical="center"/>
    </xf>
    <xf numFmtId="0" fontId="33" fillId="3" borderId="9" xfId="0">
      <alignment horizontal="center" vertical="center"/>
    </xf>
    <xf numFmtId="0" fontId="6" fillId="15" borderId="9" xfId="0">
      <alignment horizontal="left" vertical="center"/>
    </xf>
    <xf numFmtId="3" fontId="6" fillId="15" borderId="9" xfId="0">
      <alignment horizontal="right" vertical="center"/>
    </xf>
    <xf numFmtId="2681" fontId="6" fillId="15" borderId="9" xfId="0">
      <alignment horizontal="center" vertical="center"/>
    </xf>
    <xf numFmtId="0" fontId="6" fillId="5" borderId="9" xfId="0">
      <alignment horizontal="left" vertical="center"/>
    </xf>
    <xf numFmtId="3" fontId="6" fillId="5" borderId="9" xfId="0">
      <alignment horizontal="right" vertical="center"/>
    </xf>
    <xf numFmtId="2681" fontId="6" fillId="5" borderId="9" xfId="0">
      <alignment horizontal="center" vertical="center"/>
    </xf>
    <xf numFmtId="0" fontId="5" fillId="9" borderId="9" xfId="0">
      <alignment horizontal="left" vertical="center"/>
    </xf>
    <xf numFmtId="3" fontId="5" fillId="9" borderId="9" xfId="0">
      <alignment horizontal="right" vertical="center"/>
    </xf>
    <xf numFmtId="2681" fontId="5" fillId="9" borderId="9" xfId="0">
      <alignment horizontal="center" vertical="center"/>
    </xf>
    <xf numFmtId="0" fontId="41" fillId="2" borderId="9" xfId="0">
      <alignment horizontal="center" vertical="center"/>
    </xf>
    <xf numFmtId="0" fontId="42" fillId="3" borderId="9" xfId="0">
      <alignment horizontal="center" vertical="center"/>
    </xf>
    <xf numFmtId="0" fontId="14" fillId="15" borderId="9" xfId="0">
      <alignment horizontal="left" vertical="center"/>
    </xf>
    <xf numFmtId="2681" fontId="16" fillId="15" borderId="9" xfId="0">
      <alignment horizontal="center" vertical="center"/>
    </xf>
    <xf numFmtId="2722" fontId="16" fillId="15" borderId="9" xfId="0">
      <alignment horizontal="right" vertical="center"/>
    </xf>
    <xf numFmtId="0" fontId="25" fillId="15" borderId="9" xfId="0">
      <alignment horizontal="center" vertical="center"/>
    </xf>
    <xf numFmtId="0" fontId="14" fillId="5" borderId="9" xfId="0">
      <alignment horizontal="left" vertical="center"/>
    </xf>
    <xf numFmtId="2681" fontId="16" fillId="5" borderId="9" xfId="0">
      <alignment horizontal="center" vertical="center"/>
    </xf>
    <xf numFmtId="2722" fontId="16" fillId="5" borderId="9" xfId="0">
      <alignment horizontal="right" vertical="center"/>
    </xf>
    <xf numFmtId="2733" fontId="14" fillId="5" borderId="9" xfId="0">
      <alignment horizontal="center" vertical="center"/>
    </xf>
    <xf numFmtId="2733" fontId="14" fillId="15" borderId="9" xfId="0">
      <alignment horizontal="center" vertical="center"/>
    </xf>
    <xf numFmtId="0" fontId="14" fillId="15" borderId="9" xfId="0">
      <alignment horizontal="center" vertical="center"/>
    </xf>
    <xf numFmtId="0" fontId="16" fillId="15" borderId="9" xfId="0">
      <alignment horizontal="left" vertical="center"/>
    </xf>
    <xf numFmtId="9" fontId="16" fillId="15" borderId="9" xfId="0">
      <alignment horizontal="center" vertical="center"/>
    </xf>
    <xf numFmtId="2722" fontId="14" fillId="15" borderId="9" xfId="0">
      <alignment horizontal="right" vertical="center"/>
    </xf>
    <xf numFmtId="0" fontId="20" fillId="15" borderId="9" xfId="0">
      <alignment horizontal="left" vertical="center"/>
    </xf>
    <xf numFmtId="0" fontId="14" fillId="5" borderId="9" xfId="0">
      <alignment horizontal="center" vertical="center"/>
    </xf>
    <xf numFmtId="0" fontId="16" fillId="5" borderId="9" xfId="0">
      <alignment horizontal="left" vertical="center"/>
    </xf>
    <xf numFmtId="9" fontId="16" fillId="5" borderId="9" xfId="0">
      <alignment horizontal="center" vertical="center"/>
    </xf>
    <xf numFmtId="2722" fontId="14" fillId="5" borderId="9" xfId="0">
      <alignment horizontal="right" vertical="center"/>
    </xf>
    <xf numFmtId="0" fontId="20" fillId="5" borderId="9" xfId="0">
      <alignment horizontal="left" vertical="center"/>
    </xf>
    <xf numFmtId="0" fontId="41" fillId="11" borderId="9" xfId="0">
      <alignment horizontal="center" vertical="center"/>
    </xf>
    <xf numFmtId="0" fontId="14" fillId="0" borderId="9" xfId="0">
      <alignment horizontal="center" vertical="center"/>
    </xf>
    <xf numFmtId="0" fontId="16" fillId="0" borderId="9" xfId="0">
      <alignment horizontal="left" vertical="center"/>
    </xf>
    <xf numFmtId="0" fontId="14" fillId="16" borderId="9" xfId="0">
      <alignment horizontal="center" vertical="center"/>
    </xf>
    <xf numFmtId="0" fontId="5" fillId="16" borderId="9" xfId="0">
      <alignment horizontal="center" vertical="center"/>
    </xf>
    <xf numFmtId="0" fontId="25" fillId="0" borderId="9" xfId="0">
      <alignment horizontal="left" vertical="center"/>
    </xf>
    <xf numFmtId="0" fontId="14" fillId="17" borderId="9" xfId="0">
      <alignment horizontal="center" vertical="center"/>
    </xf>
    <xf numFmtId="0" fontId="5" fillId="17" borderId="9" xfId="0">
      <alignment horizontal="center" vertical="center"/>
    </xf>
    <xf numFmtId="0" fontId="14" fillId="18" borderId="9" xfId="0">
      <alignment horizontal="center" vertical="center"/>
    </xf>
    <xf numFmtId="0" fontId="5" fillId="18" borderId="9" xfId="0">
      <alignment horizontal="center" vertical="center"/>
    </xf>
    <xf numFmtId="0" fontId="43" fillId="2" borderId="8" xfId="0">
      <alignment horizontal="center" vertical="center"/>
    </xf>
    <xf numFmtId="0" fontId="26" fillId="9" borderId="8" xfId="0">
      <alignment horizontal="left" vertical="top"/>
    </xf>
    <xf numFmtId="0" fontId="20" fillId="5" borderId="9" xfId="0">
      <alignment horizontal="center" vertical="center"/>
    </xf>
    <xf numFmtId="0" fontId="10" fillId="2" borderId="4" xfId="0">
      <alignment horizontal="center" vertical="center"/>
    </xf>
    <xf numFmtId="0" fontId="13" fillId="3" borderId="4" xfId="0">
      <alignment horizontal="center" vertical="center"/>
    </xf>
    <xf numFmtId="0" fontId="15" fillId="2" borderId="4" xfId="0">
      <alignment horizontal="center" vertical="center"/>
    </xf>
    <xf numFmtId="0" fontId="11" fillId="7" borderId="4" xfId="0">
      <alignment horizontal="left" vertical="center" indent="1"/>
    </xf>
    <xf numFmtId="0" fontId="14" fillId="6" borderId="4" xfId="0">
      <alignment horizontal="left" vertical="center" indent="1"/>
    </xf>
    <xf numFmtId="0" fontId="16" fillId="6" borderId="4" xfId="0">
      <alignment horizontal="left" vertical="top" indent="1"/>
    </xf>
    <xf numFmtId="0" fontId="20" fillId="6" borderId="4" xfId="0">
      <alignment horizontal="center" vertical="center"/>
    </xf>
    <xf numFmtId="0" fontId="14" fillId="10" borderId="4" xfId="0">
      <alignment horizontal="left" vertical="center" indent="1"/>
    </xf>
    <xf numFmtId="0" fontId="16" fillId="10" borderId="4" xfId="0">
      <alignment horizontal="left" vertical="top" indent="1"/>
    </xf>
    <xf numFmtId="0" fontId="20" fillId="10" borderId="4" xfId="0">
      <alignment horizontal="center" vertical="center"/>
    </xf>
    <xf numFmtId="0" fontId="11" fillId="11" borderId="4" xfId="0">
      <alignment horizontal="left" vertical="center" indent="1"/>
    </xf>
    <xf numFmtId="0" fontId="24" fillId="2" borderId="4" xfId="0">
      <alignment horizontal="center" vertical="center"/>
    </xf>
    <xf numFmtId="0" fontId="5" fillId="9" borderId="4" xfId="0">
      <alignment horizontal="center" vertical="center"/>
    </xf>
    <xf numFmtId="0" fontId="22" fillId="6" borderId="2" xfId="0">
      <alignment vertical="top"/>
    </xf>
    <xf numFmtId="0" fontId="16" fillId="0" borderId="4" xfId="0">
      <alignment horizontal="left" vertical="center"/>
    </xf>
    <xf numFmtId="0" fontId="14" fillId="0" borderId="4" xfId="0">
      <alignment horizontal="left" vertical="center"/>
    </xf>
    <xf numFmtId="0" fontId="20" fillId="5" borderId="4" xfId="0">
      <alignment horizontal="center" vertical="center"/>
    </xf>
    <xf numFmtId="0" fontId="19" fillId="6" borderId="4" xfId="0">
      <alignment horizontal="center" vertical="center"/>
    </xf>
    <xf numFmtId="0" fontId="16" fillId="6" borderId="4" xfId="0">
      <alignment horizontal="left" vertical="center" indent="1"/>
    </xf>
    <xf numFmtId="0" fontId="14" fillId="18" borderId="4" xfId="0">
      <alignment horizontal="center" vertical="center"/>
    </xf>
    <xf numFmtId="0" fontId="19" fillId="10" borderId="4" xfId="0">
      <alignment horizontal="center" vertical="center"/>
    </xf>
    <xf numFmtId="0" fontId="16" fillId="10" borderId="4" xfId="0">
      <alignment horizontal="left" vertical="center" indent="1"/>
    </xf>
    <xf numFmtId="0" fontId="14" fillId="17" borderId="4" xfId="0">
      <alignment horizontal="center" vertical="center"/>
    </xf>
    <xf numFmtId="0" fontId="8" fillId="5" borderId="4" xfId="0">
      <alignment horizontal="center" vertical="center"/>
    </xf>
    <xf numFmtId="0" fontId="11" fillId="7" borderId="4" xfId="0">
      <alignment horizontal="center" vertical="center"/>
    </xf>
    <xf numFmtId="0" fontId="14" fillId="9" borderId="4" xfId="0">
      <alignment horizontal="left" vertical="center" indent="1"/>
    </xf>
    <xf numFmtId="0" fontId="11" fillId="2" borderId="4" xfId="0">
      <alignment horizontal="center" vertical="center"/>
    </xf>
    <xf numFmtId="0" fontId="14" fillId="19" borderId="4" xfId="0">
      <alignment horizontal="center" vertical="center"/>
    </xf>
    <xf numFmtId="0" fontId="14" fillId="20" borderId="4" xfId="0">
      <alignment horizontal="center" vertical="center"/>
    </xf>
    <xf numFmtId="0" fontId="14" fillId="16" borderId="4" xfId="0">
      <alignment horizontal="center" vertical="center"/>
    </xf>
    <xf numFmtId="2698" fontId="14" fillId="6" borderId="4" xfId="0">
      <alignment horizontal="center" vertical="center"/>
    </xf>
  </cellXfs>
  <cellStyles count="1">
    <cellStyle name="Normal"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styles" Target="styles.xml"/><Relationship Id="rId13" Type="http://schemas.openxmlformats.org/officeDocument/2006/relationships/theme" Target="theme/theme1.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1" Type="http://schemas.microsoft.com/office/2011/relationships/chartStyle" Target="style1.xml"/><Relationship Id="rId2" Type="http://schemas.microsoft.com/office/2011/relationships/chartColorStyle" Target="colors1.xml"/></Relationships>
</file>

<file path=xl/charts/_rels/chart2.xml.rels><?xml version="1.0" encoding="UTF-8" standalone="yes"?>
<Relationships xmlns="http://schemas.openxmlformats.org/package/2006/relationships"><Relationship Id="rId1" Type="http://schemas.microsoft.com/office/2011/relationships/chartStyle" Target="style2.xml"/><Relationship Id="rId2" Type="http://schemas.microsoft.com/office/2011/relationships/chartColorStyle" Target="colors2.xml"/></Relationships>
</file>

<file path=xl/charts/chart1.xml><?xml version="1.0" encoding="utf-8"?>
<c:chartSpace xmlns:a="http://schemas.openxmlformats.org/drawingml/2006/main" xmlns:r="http://schemas.openxmlformats.org/officeDocument/2006/relationships" xmlns:c="http://schemas.openxmlformats.org/drawingml/2006/chart" xmlns:c16r2="http://schemas.microsoft.com/office/drawing/2015/06/chart">
  <c:roundedCorners val="0"/>
  <c:chart>
    <c:title>
      <c:tx>
        <c:rich>
          <a:bodyPr/>
          <a:p>
            <a:pPr>
              <a:defRPr sz="1050" b="0">
                <a:solidFill>
                  <a:srgbClr val="333333"/>
                </a:solidFill>
                <a:latin typeface="Arial"/>
              </a:defRPr>
            </a:pPr>
            <a:r>
              <a:rPr sz="1050" b="0">
                <a:solidFill>
                  <a:srgbClr val="333333"/>
                </a:solidFill>
                <a:latin typeface="Arial"/>
              </a:rPr>
              <a:t>Cost Distribution by Section</a:t>
            </a:r>
            <a:endParaRPr/>
          </a:p>
        </c:rich>
      </c:tx>
      <c:overlay val="0"/>
      <c:spPr>
        <a:noFill/>
        <a:ln>
          <a:noFill/>
        </a:ln>
      </c:spPr>
    </c:title>
    <c:autoTitleDeleted val="0"/>
    <c:plotArea>
      <c:pieChart chartType="10">
        <c:ser seriesType="3">
          <c:dPt>
            <c:idx val="0"/>
            <c:invertIfNegative val="0"/>
            <c:spPr>
              <a:solidFill>
                <a:schemeClr val="accent1"/>
              </a:solidFill>
              <a:ln w="19050">
                <a:solidFill>
                  <a:srgbClr val="ffffff"/>
                </a:solidFill>
                <a:prstDash val="solid"/>
              </a:ln>
            </c:spPr>
            <c:marker>
              <c:spPr/>
              <c:size val="5"/>
              <c:symbol val="none"/>
            </c:marker>
          </c:dPt>
          <c:dPt>
            <c:idx val="1"/>
            <c:invertIfNegative val="0"/>
            <c:spPr>
              <a:solidFill>
                <a:schemeClr val="accent2"/>
              </a:solidFill>
              <a:ln w="19050">
                <a:solidFill>
                  <a:srgbClr val="ffffff"/>
                </a:solidFill>
                <a:prstDash val="solid"/>
              </a:ln>
            </c:spPr>
            <c:marker>
              <c:spPr/>
              <c:size val="5"/>
              <c:symbol val="none"/>
            </c:marker>
          </c:dPt>
          <c:dPt>
            <c:idx val="2"/>
            <c:invertIfNegative val="0"/>
            <c:spPr>
              <a:solidFill>
                <a:schemeClr val="accent3"/>
              </a:solidFill>
              <a:ln w="19050">
                <a:solidFill>
                  <a:srgbClr val="ffffff"/>
                </a:solidFill>
                <a:prstDash val="solid"/>
              </a:ln>
            </c:spPr>
            <c:marker>
              <c:spPr/>
              <c:size val="5"/>
              <c:symbol val="none"/>
            </c:marker>
          </c:dPt>
          <c:dPt>
            <c:idx val="3"/>
            <c:invertIfNegative val="0"/>
            <c:spPr>
              <a:solidFill>
                <a:schemeClr val="accent4"/>
              </a:solidFill>
              <a:ln w="19050">
                <a:solidFill>
                  <a:srgbClr val="ffffff"/>
                </a:solidFill>
                <a:prstDash val="solid"/>
              </a:ln>
            </c:spPr>
            <c:marker>
              <c:spPr/>
              <c:size val="5"/>
              <c:symbol val="none"/>
            </c:marker>
          </c:dPt>
          <c:dPt>
            <c:idx val="4"/>
            <c:invertIfNegative val="0"/>
            <c:spPr>
              <a:solidFill>
                <a:schemeClr val="accent5"/>
              </a:solidFill>
              <a:ln w="19050">
                <a:solidFill>
                  <a:srgbClr val="ffffff"/>
                </a:solidFill>
                <a:prstDash val="solid"/>
              </a:ln>
            </c:spPr>
            <c:marker>
              <c:spPr/>
              <c:size val="5"/>
              <c:symbol val="none"/>
            </c:marker>
          </c:dPt>
          <c:dPt>
            <c:idx val="5"/>
            <c:invertIfNegative val="0"/>
            <c:spPr>
              <a:solidFill>
                <a:schemeClr val="accent6"/>
              </a:solidFill>
              <a:ln w="19050">
                <a:solidFill>
                  <a:srgbClr val="ffffff"/>
                </a:solidFill>
                <a:prstDash val="solid"/>
              </a:ln>
            </c:spPr>
            <c:marker>
              <c:spPr/>
              <c:size val="5"/>
              <c:symbol val="none"/>
            </c:marker>
          </c:dPt>
          <c:dPt>
            <c:idx val="6"/>
            <c:invertIfNegative val="0"/>
            <c:spPr>
              <a:solidFill>
                <a:schemeClr val="accent1">
                  <a:lumMod val="60000"/>
                </a:schemeClr>
              </a:solidFill>
              <a:ln w="19050">
                <a:solidFill>
                  <a:srgbClr val="ffffff"/>
                </a:solidFill>
                <a:prstDash val="solid"/>
              </a:ln>
            </c:spPr>
            <c:marker>
              <c:spPr/>
              <c:size val="5"/>
              <c:symbol val="none"/>
            </c:marker>
          </c:dPt>
          <c:dPt>
            <c:idx val="7"/>
            <c:invertIfNegative val="0"/>
            <c:spPr>
              <a:solidFill>
                <a:schemeClr val="accent2">
                  <a:lumMod val="60000"/>
                </a:schemeClr>
              </a:solidFill>
              <a:ln w="19050">
                <a:solidFill>
                  <a:srgbClr val="ffffff"/>
                </a:solidFill>
                <a:prstDash val="solid"/>
              </a:ln>
            </c:spPr>
            <c:marker>
              <c:spPr/>
              <c:size val="5"/>
              <c:symbol val="none"/>
            </c:marker>
          </c:dPt>
          <c:dPt>
            <c:idx val="8"/>
            <c:invertIfNegative val="0"/>
            <c:spPr>
              <a:solidFill>
                <a:schemeClr val="accent3">
                  <a:lumMod val="60000"/>
                </a:schemeClr>
              </a:solidFill>
              <a:ln w="19050">
                <a:solidFill>
                  <a:srgbClr val="ffffff"/>
                </a:solidFill>
                <a:prstDash val="solid"/>
              </a:ln>
            </c:spPr>
            <c:marker>
              <c:spPr/>
              <c:size val="5"/>
              <c:symbol val="none"/>
            </c:marker>
          </c:dPt>
          <c:dPt>
            <c:idx val="9"/>
            <c:invertIfNegative val="0"/>
            <c:spPr>
              <a:solidFill>
                <a:schemeClr val="accent4">
                  <a:lumMod val="60000"/>
                </a:schemeClr>
              </a:solidFill>
              <a:ln w="19050">
                <a:solidFill>
                  <a:srgbClr val="ffffff"/>
                </a:solidFill>
                <a:prstDash val="solid"/>
              </a:ln>
            </c:spPr>
            <c:marker>
              <c:spPr/>
              <c:size val="5"/>
              <c:symbol val="none"/>
            </c:marker>
          </c:dPt>
          <c:idx val="0"/>
          <c:order val="0"/>
          <c:tx>
            <c:strRef>
              <c:f>Dashboard!$C$14</c:f>
            </c:strRef>
          </c:tx>
          <c:spPr>
            <a:ln w="19050">
              <a:solidFill>
                <a:srgbClr val="ffffff"/>
              </a:solidFill>
              <a:prstDash val="solid"/>
            </a:ln>
          </c:spPr>
          <c:cat>
            <c:strRef>
              <c:f>Dashboard!$B$15:$B$24</c:f>
            </c:strRef>
          </c:cat>
          <c:val>
            <c:numRef>
              <c:f>Dashboard!$C$15:$C$24</c:f>
              <c:numCache>
                <c:formatCode>#,##0</c:formatCode>
              </c:numCache>
            </c:numRef>
          </c:val>
          <c:dLbls>
            <c:spPr>
              <a:noFill/>
              <a:ln>
                <a:noFill/>
              </a:ln>
            </c:spPr>
            <c:dLblPos val="outEnd"/>
            <c:showLeaderLines val="1"/>
            <c:showBubbleSize val="0"/>
            <c:showLegendKey val="0"/>
            <c:showPercent val="1"/>
            <c:showCatName val="0"/>
            <c:showSerName val="0"/>
            <c:showVal val="0"/>
            <c:separator>, </c:separator>
            <c:extLst>
              <c:ext xmlns:c15="http://schemas.microsoft.com/office/drawing/2012/chart" uri="{CE6537A1-D6FC-4f65-9D91-7224C49458BB}">
                <c15:showLeaderLines val="1"/>
              </c:ext>
            </c:extLst>
            <c:leaderLines>
              <c:spPr>
                <a:ln w="9525">
                  <a:solidFill>
                    <a:schemeClr val="tx1">
                      <a:lumMod val="35000"/>
                      <a:lumOff val="65000"/>
                    </a:schemeClr>
                  </a:solidFill>
                </a:ln>
              </c:spPr>
            </c:leaderLines>
          </c:dLbls>
          <c:extLst/>
          <c:explosion val="0"/>
        </c:ser>
        <c:varyColors val="1"/>
        <c:firstSliceAng val="0"/>
      </c:pieChart>
      <c:spPr>
        <a:noFill/>
        <a:ln>
          <a:noFill/>
        </a:ln>
      </c:spPr>
    </c:plotArea>
    <c:legend>
      <c:legendPos val="r"/>
      <c:overlay val="0"/>
      <c:spPr>
        <a:noFill/>
      </c:spPr>
      <c:txPr>
        <a:bodyPr/>
        <a:p>
          <a:pPr>
            <a:defRPr sz="750" b="0">
              <a:solidFill>
                <a:schemeClr val="tx1">
                  <a:lumMod val="65000"/>
                  <a:lumOff val="35000"/>
                </a:schemeClr>
              </a:solidFill>
              <a:latin typeface="Arial"/>
            </a:defRPr>
          </a:pPr>
          <a:r>
            <a:rPr sz="750" b="0">
              <a:solidFill>
                <a:schemeClr val="tx1">
                  <a:lumMod val="65000"/>
                  <a:lumOff val="35000"/>
                </a:schemeClr>
              </a:solidFill>
              <a:latin typeface="Arial"/>
            </a:rPr>
            <a:t/>
          </a:r>
          <a:endParaRPr/>
        </a:p>
      </c:txPr>
    </c:legend>
    <c:plotVisOnly val="1"/>
    <c:dispBlanksAs val="gap"/>
    <c:showDLblsOverMax val="0"/>
    <c:extLst>
      <c:ext xmlns:c16r3="http://schemas.microsoft.com/office/drawing/2017/03/chart" uri="{56B9EC1D-385E-4148-901F-78D8002777C0}">
        <c16r3:dataDisplayOptions16>
          <c16r3:dispNaAsBlank val="0"/>
        </c16r3:dataDisplayOptions16>
      </c:ext>
    </c:extLst>
  </c:chart>
  <mc:AlternateContent xmlns:mc="http://schemas.openxmlformats.org/markup-compatibility/2006">
    <mc:Choice xmlns:c14="http://schemas.microsoft.com/office/drawing/2007/8/2/chart" Requires="c14">
      <c14:style val="102"/>
    </mc:Choice>
    <mc:Fallback>
      <c:style val="4"/>
    </mc:Fallback>
  </mc:AlternateContent>
  <c:spPr>
    <a:solidFill>
      <a:schemeClr val="bg1"/>
    </a:solidFill>
    <a:ln w="9525">
      <a:solidFill>
        <a:schemeClr val="tx1">
          <a:lumMod val="15000"/>
          <a:lumOff val="85000"/>
        </a:schemeClr>
      </a:solidFill>
    </a:ln>
  </c:spPr>
  <c:txPr>
    <a:bodyPr/>
    <a:p>
      <a:pPr>
        <a:defRPr b="0">
          <a:solidFill>
            <a:schemeClr val="tx1">
              <a:lumMod val="65000"/>
              <a:lumOff val="35000"/>
            </a:schemeClr>
          </a:solidFill>
          <a:latin typeface="+mn-lt"/>
        </a:defRPr>
      </a:pPr>
      <a:r>
        <a:rPr b="0">
          <a:solidFill>
            <a:schemeClr val="tx1">
              <a:lumMod val="65000"/>
              <a:lumOff val="35000"/>
            </a:schemeClr>
          </a:solidFill>
          <a:latin typeface="+mn-lt"/>
        </a:rPr>
        <a:t/>
      </a:r>
      <a:endParaRPr/>
    </a:p>
  </c:txPr>
</c:chartSpace>
</file>

<file path=xl/charts/chart2.xml><?xml version="1.0" encoding="utf-8"?>
<c:chartSpace xmlns:a="http://schemas.openxmlformats.org/drawingml/2006/main" xmlns:r="http://schemas.openxmlformats.org/officeDocument/2006/relationships" xmlns:c="http://schemas.openxmlformats.org/drawingml/2006/chart" xmlns:c16r2="http://schemas.microsoft.com/office/drawing/2015/06/chart">
  <c:roundedCorners val="0"/>
  <c:chart>
    <c:title>
      <c:tx>
        <c:rich>
          <a:bodyPr/>
          <a:p>
            <a:pPr>
              <a:defRPr sz="1050" b="0">
                <a:solidFill>
                  <a:srgbClr val="333333"/>
                </a:solidFill>
                <a:latin typeface="Arial"/>
              </a:defRPr>
            </a:pPr>
            <a:r>
              <a:rPr sz="1050" b="0">
                <a:solidFill>
                  <a:srgbClr val="333333"/>
                </a:solidFill>
                <a:latin typeface="Arial"/>
              </a:rPr>
              <a:t>Material vs Labor Distribution</a:t>
            </a:r>
            <a:endParaRPr/>
          </a:p>
        </c:rich>
      </c:tx>
      <c:overlay val="0"/>
      <c:spPr>
        <a:noFill/>
        <a:ln>
          <a:noFill/>
        </a:ln>
      </c:spPr>
    </c:title>
    <c:autoTitleDeleted val="0"/>
    <c:plotArea>
      <c:doughnutChart chartType="12">
        <c:ser seriesType="3">
          <c:dPt>
            <c:idx val="0"/>
            <c:invertIfNegative val="0"/>
            <c:spPr>
              <a:solidFill>
                <a:schemeClr val="accent1"/>
              </a:solidFill>
              <a:ln w="19050">
                <a:solidFill>
                  <a:srgbClr val="ffffff"/>
                </a:solidFill>
                <a:prstDash val="solid"/>
              </a:ln>
            </c:spPr>
            <c:marker>
              <c:spPr/>
              <c:size val="5"/>
              <c:symbol val="none"/>
            </c:marker>
          </c:dPt>
          <c:dPt>
            <c:idx val="1"/>
            <c:invertIfNegative val="0"/>
            <c:spPr>
              <a:solidFill>
                <a:schemeClr val="accent2"/>
              </a:solidFill>
              <a:ln w="19050">
                <a:solidFill>
                  <a:srgbClr val="ffffff"/>
                </a:solidFill>
                <a:prstDash val="solid"/>
              </a:ln>
            </c:spPr>
            <c:marker>
              <c:spPr/>
              <c:size val="5"/>
              <c:symbol val="none"/>
            </c:marker>
          </c:dPt>
          <c:dPt>
            <c:idx val="2"/>
            <c:invertIfNegative val="0"/>
            <c:spPr>
              <a:solidFill>
                <a:schemeClr val="accent3"/>
              </a:solidFill>
              <a:ln w="19050">
                <a:solidFill>
                  <a:srgbClr val="ffffff"/>
                </a:solidFill>
                <a:prstDash val="solid"/>
              </a:ln>
            </c:spPr>
            <c:marker>
              <c:spPr/>
              <c:size val="5"/>
              <c:symbol val="none"/>
            </c:marker>
          </c:dPt>
          <c:dPt>
            <c:idx val="3"/>
            <c:invertIfNegative val="0"/>
            <c:spPr>
              <a:solidFill>
                <a:schemeClr val="accent4"/>
              </a:solidFill>
              <a:ln w="19050">
                <a:solidFill>
                  <a:srgbClr val="ffffff"/>
                </a:solidFill>
                <a:prstDash val="solid"/>
              </a:ln>
            </c:spPr>
            <c:marker>
              <c:spPr/>
              <c:size val="5"/>
              <c:symbol val="none"/>
            </c:marker>
          </c:dPt>
          <c:idx val="0"/>
          <c:order val="0"/>
          <c:tx>
            <c:strRef>
              <c:f>Dashboard!$I$14</c:f>
            </c:strRef>
          </c:tx>
          <c:spPr>
            <a:ln w="19050">
              <a:solidFill>
                <a:srgbClr val="ffffff"/>
              </a:solidFill>
              <a:prstDash val="solid"/>
            </a:ln>
          </c:spPr>
          <c:cat>
            <c:strRef>
              <c:f>Dashboard!$H$15:$H$18</c:f>
            </c:strRef>
          </c:cat>
          <c:val>
            <c:numRef>
              <c:f>Dashboard!$I$15:$I$18</c:f>
              <c:numCache>
                <c:formatCode>#,##0</c:formatCode>
              </c:numCache>
            </c:numRef>
          </c:val>
          <c:dLbls>
            <c:spPr>
              <a:noFill/>
              <a:ln>
                <a:noFill/>
              </a:ln>
            </c:spPr>
            <c:showLeaderLines val="1"/>
            <c:showBubbleSize val="0"/>
            <c:showLegendKey val="0"/>
            <c:showPercent val="1"/>
            <c:showCatName val="0"/>
            <c:showSerName val="0"/>
            <c:showVal val="0"/>
            <c:separator>, </c:separator>
            <c:extLst>
              <c:ext xmlns:c15="http://schemas.microsoft.com/office/drawing/2012/chart" uri="{CE6537A1-D6FC-4f65-9D91-7224C49458BB}">
                <c15:showLeaderLines val="1"/>
              </c:ext>
            </c:extLst>
            <c:leaderLines>
              <c:spPr>
                <a:ln w="9525">
                  <a:solidFill>
                    <a:schemeClr val="tx1">
                      <a:lumMod val="35000"/>
                      <a:lumOff val="65000"/>
                    </a:schemeClr>
                  </a:solidFill>
                </a:ln>
              </c:spPr>
            </c:leaderLines>
          </c:dLbls>
          <c:extLst/>
          <c:explosion val="0"/>
        </c:ser>
        <c:varyColors val="1"/>
        <c:firstSliceAng val="0"/>
        <c:holeSize val="75"/>
      </c:doughnutChart>
      <c:spPr>
        <a:noFill/>
        <a:ln>
          <a:noFill/>
        </a:ln>
      </c:spPr>
    </c:plotArea>
    <c:legend>
      <c:legendPos val="r"/>
      <c:overlay val="0"/>
      <c:spPr>
        <a:noFill/>
      </c:spPr>
      <c:txPr>
        <a:bodyPr/>
        <a:p>
          <a:pPr>
            <a:defRPr sz="750" b="0">
              <a:solidFill>
                <a:schemeClr val="tx1">
                  <a:lumMod val="65000"/>
                  <a:lumOff val="35000"/>
                </a:schemeClr>
              </a:solidFill>
              <a:latin typeface="Arial"/>
            </a:defRPr>
          </a:pPr>
          <a:r>
            <a:rPr sz="750" b="0">
              <a:solidFill>
                <a:schemeClr val="tx1">
                  <a:lumMod val="65000"/>
                  <a:lumOff val="35000"/>
                </a:schemeClr>
              </a:solidFill>
              <a:latin typeface="Arial"/>
            </a:rPr>
            <a:t/>
          </a:r>
          <a:endParaRPr/>
        </a:p>
      </c:txPr>
    </c:legend>
    <c:plotVisOnly val="1"/>
    <c:dispBlanksAs val="gap"/>
    <c:showDLblsOverMax val="0"/>
    <c:extLst>
      <c:ext xmlns:c16r3="http://schemas.microsoft.com/office/drawing/2017/03/chart" uri="{56B9EC1D-385E-4148-901F-78D8002777C0}">
        <c16r3:dataDisplayOptions16>
          <c16r3:dispNaAsBlank val="0"/>
        </c16r3:dataDisplayOptions16>
      </c:ext>
    </c:extLst>
  </c:chart>
  <mc:AlternateContent xmlns:mc="http://schemas.openxmlformats.org/markup-compatibility/2006">
    <mc:Choice xmlns:c14="http://schemas.microsoft.com/office/drawing/2007/8/2/chart" Requires="c14">
      <c14:style val="102"/>
    </mc:Choice>
    <mc:Fallback>
      <c:style val="4"/>
    </mc:Fallback>
  </mc:AlternateContent>
  <c:spPr>
    <a:solidFill>
      <a:schemeClr val="bg1"/>
    </a:solidFill>
    <a:ln w="9525">
      <a:solidFill>
        <a:schemeClr val="tx1">
          <a:lumMod val="15000"/>
          <a:lumOff val="85000"/>
        </a:schemeClr>
      </a:solidFill>
    </a:ln>
  </c:spPr>
  <c:txPr>
    <a:bodyPr/>
    <a:p>
      <a:pPr>
        <a:defRPr b="0">
          <a:solidFill>
            <a:schemeClr val="tx1">
              <a:lumMod val="65000"/>
              <a:lumOff val="35000"/>
            </a:schemeClr>
          </a:solidFill>
          <a:latin typeface="+mn-lt"/>
        </a:defRPr>
      </a:pPr>
      <a:r>
        <a:rPr b="0">
          <a:solidFill>
            <a:schemeClr val="tx1">
              <a:lumMod val="65000"/>
              <a:lumOff val="35000"/>
            </a:schemeClr>
          </a:solidFill>
          <a:latin typeface="+mn-lt"/>
        </a:rPr>
        <a:t/>
      </a:r>
      <a:endParaRPr/>
    </a:p>
  </c:txPr>
</c:chartSpace>
</file>

<file path=xl/charts/colors1.xml><?xml version="1.0" encoding="utf-8"?>
<cs:colorStyle xmlns:a="http://schemas.openxmlformats.org/drawingml/2006/main" xmlns:cs="http://schemas.microsoft.com/office/drawing/2012/chartStyle" meth="cycle" id="10">
  <a:schemeClr val="accent1"/>
  <a:schemeClr val="accent2"/>
  <a:schemeClr val="accent3"/>
  <a:schemeClr val="accent4"/>
  <a:schemeClr val="accent5"/>
  <a:schemeClr val="accent6"/>
  <a:schemeClr val="accent1">
    <a:lumMod val="60000"/>
  </a:schemeClr>
  <a:schemeClr val="accent2">
    <a:lumMod val="60000"/>
  </a:schemeClr>
  <a:schemeClr val="accent3">
    <a:lumMod val="60000"/>
  </a:schemeClr>
  <a:schemeClr val="accent4">
    <a:lumMod val="60000"/>
  </a:schemeClr>
  <a:schemeClr val="accent5">
    <a:lumMod val="60000"/>
  </a:schemeClr>
  <a:schemeClr val="accent6">
    <a:lumMod val="60000"/>
  </a:schemeClr>
  <a:schemeClr val="accent1">
    <a:lumMod val="80000"/>
    <a:lumOff val="20000"/>
  </a:schemeClr>
  <a:schemeClr val="accent2">
    <a:lumMod val="80000"/>
    <a:lumOff val="20000"/>
  </a:schemeClr>
  <a:schemeClr val="accent3">
    <a:lumMod val="80000"/>
    <a:lumOff val="20000"/>
  </a:schemeClr>
  <a:schemeClr val="accent4">
    <a:lumMod val="80000"/>
    <a:lumOff val="20000"/>
  </a:schemeClr>
  <a:schemeClr val="accent5">
    <a:lumMod val="80000"/>
    <a:lumOff val="20000"/>
  </a:schemeClr>
  <a:schemeClr val="accent6">
    <a:lumMod val="80000"/>
    <a:lumOff val="20000"/>
  </a:schemeClr>
  <a:schemeClr val="accent1">
    <a:lumMod val="80000"/>
  </a:schemeClr>
  <a:schemeClr val="accent2">
    <a:lumMod val="80000"/>
  </a:schemeClr>
  <a:schemeClr val="accent3">
    <a:lumMod val="80000"/>
  </a:schemeClr>
  <a:schemeClr val="accent4">
    <a:lumMod val="80000"/>
  </a:schemeClr>
  <a:schemeClr val="accent5">
    <a:lumMod val="80000"/>
  </a:schemeClr>
  <a:schemeClr val="accent6">
    <a:lumMod val="80000"/>
  </a:schemeClr>
  <a:schemeClr val="accent1">
    <a:lumMod val="60000"/>
    <a:lumOff val="40000"/>
  </a:schemeClr>
  <a:schemeClr val="accent2">
    <a:lumMod val="60000"/>
    <a:lumOff val="40000"/>
  </a:schemeClr>
  <a:schemeClr val="accent3">
    <a:lumMod val="60000"/>
    <a:lumOff val="40000"/>
  </a:schemeClr>
  <a:schemeClr val="accent4">
    <a:lumMod val="60000"/>
    <a:lumOff val="40000"/>
  </a:schemeClr>
  <a:schemeClr val="accent5">
    <a:lumMod val="60000"/>
    <a:lumOff val="40000"/>
  </a:schemeClr>
  <a:schemeClr val="accent6">
    <a:lumMod val="60000"/>
    <a:lumOff val="40000"/>
  </a:schemeClr>
  <a:schemeClr val="accent1">
    <a:lumMod val="50000"/>
  </a:schemeClr>
  <a:schemeClr val="accent2">
    <a:lumMod val="50000"/>
  </a:schemeClr>
  <a:schemeClr val="accent3">
    <a:lumMod val="50000"/>
  </a:schemeClr>
  <a:schemeClr val="accent4">
    <a:lumMod val="50000"/>
  </a:schemeClr>
  <a:schemeClr val="accent5">
    <a:lumMod val="50000"/>
  </a:schemeClr>
  <a:schemeClr val="accent6">
    <a:lumMod val="50000"/>
  </a:schemeClr>
  <a:schemeClr val="accent1">
    <a:lumMod val="70000"/>
    <a:lumOff val="30000"/>
  </a:schemeClr>
  <a:schemeClr val="accent2">
    <a:lumMod val="70000"/>
    <a:lumOff val="30000"/>
  </a:schemeClr>
  <a:schemeClr val="accent3">
    <a:lumMod val="70000"/>
    <a:lumOff val="30000"/>
  </a:schemeClr>
  <a:schemeClr val="accent4">
    <a:lumMod val="70000"/>
    <a:lumOff val="30000"/>
  </a:schemeClr>
  <a:schemeClr val="accent5">
    <a:lumMod val="70000"/>
    <a:lumOff val="30000"/>
  </a:schemeClr>
  <a:schemeClr val="accent6">
    <a:lumMod val="70000"/>
    <a:lumOff val="30000"/>
  </a:schemeClr>
  <a:schemeClr val="accent1">
    <a:lumMod val="70000"/>
  </a:schemeClr>
  <a:schemeClr val="accent2">
    <a:lumMod val="70000"/>
  </a:schemeClr>
  <a:schemeClr val="accent3">
    <a:lumMod val="70000"/>
  </a:schemeClr>
  <a:schemeClr val="accent4">
    <a:lumMod val="70000"/>
  </a:schemeClr>
  <a:schemeClr val="accent5">
    <a:lumMod val="70000"/>
  </a:schemeClr>
  <a:schemeClr val="accent6">
    <a:lumMod val="70000"/>
  </a:schemeClr>
  <a:schemeClr val="accent1">
    <a:lumMod val="50000"/>
    <a:lumOff val="50000"/>
  </a:schemeClr>
  <a:schemeClr val="accent2">
    <a:lumMod val="50000"/>
    <a:lumOff val="50000"/>
  </a:schemeClr>
  <a:schemeClr val="accent3">
    <a:lumMod val="50000"/>
    <a:lumOff val="50000"/>
  </a:schemeClr>
  <a:schemeClr val="accent4">
    <a:lumMod val="50000"/>
    <a:lumOff val="50000"/>
  </a:schemeClr>
  <a:schemeClr val="accent5">
    <a:lumMod val="50000"/>
    <a:lumOff val="50000"/>
  </a:schemeClr>
  <a:schemeClr val="accent6">
    <a:lumMod val="50000"/>
    <a:lumOff val="50000"/>
  </a:schemeClr>
</cs:colorStyle>
</file>

<file path=xl/charts/colors2.xml><?xml version="1.0" encoding="utf-8"?>
<cs:colorStyle xmlns:a="http://schemas.openxmlformats.org/drawingml/2006/main" xmlns:cs="http://schemas.microsoft.com/office/drawing/2012/chartStyle" meth="cycle" id="10">
  <a:schemeClr val="accent1"/>
  <a:schemeClr val="accent2"/>
  <a:schemeClr val="accent3"/>
  <a:schemeClr val="accent4"/>
  <a:schemeClr val="accent5"/>
  <a:schemeClr val="accent6"/>
  <a:schemeClr val="accent1">
    <a:lumMod val="60000"/>
  </a:schemeClr>
  <a:schemeClr val="accent2">
    <a:lumMod val="60000"/>
  </a:schemeClr>
  <a:schemeClr val="accent3">
    <a:lumMod val="60000"/>
  </a:schemeClr>
  <a:schemeClr val="accent4">
    <a:lumMod val="60000"/>
  </a:schemeClr>
  <a:schemeClr val="accent5">
    <a:lumMod val="60000"/>
  </a:schemeClr>
  <a:schemeClr val="accent6">
    <a:lumMod val="60000"/>
  </a:schemeClr>
  <a:schemeClr val="accent1">
    <a:lumMod val="80000"/>
    <a:lumOff val="20000"/>
  </a:schemeClr>
  <a:schemeClr val="accent2">
    <a:lumMod val="80000"/>
    <a:lumOff val="20000"/>
  </a:schemeClr>
  <a:schemeClr val="accent3">
    <a:lumMod val="80000"/>
    <a:lumOff val="20000"/>
  </a:schemeClr>
  <a:schemeClr val="accent4">
    <a:lumMod val="80000"/>
    <a:lumOff val="20000"/>
  </a:schemeClr>
  <a:schemeClr val="accent5">
    <a:lumMod val="80000"/>
    <a:lumOff val="20000"/>
  </a:schemeClr>
  <a:schemeClr val="accent6">
    <a:lumMod val="80000"/>
    <a:lumOff val="20000"/>
  </a:schemeClr>
  <a:schemeClr val="accent1">
    <a:lumMod val="80000"/>
  </a:schemeClr>
  <a:schemeClr val="accent2">
    <a:lumMod val="80000"/>
  </a:schemeClr>
  <a:schemeClr val="accent3">
    <a:lumMod val="80000"/>
  </a:schemeClr>
  <a:schemeClr val="accent4">
    <a:lumMod val="80000"/>
  </a:schemeClr>
  <a:schemeClr val="accent5">
    <a:lumMod val="80000"/>
  </a:schemeClr>
  <a:schemeClr val="accent6">
    <a:lumMod val="80000"/>
  </a:schemeClr>
  <a:schemeClr val="accent1">
    <a:lumMod val="60000"/>
    <a:lumOff val="40000"/>
  </a:schemeClr>
  <a:schemeClr val="accent2">
    <a:lumMod val="60000"/>
    <a:lumOff val="40000"/>
  </a:schemeClr>
  <a:schemeClr val="accent3">
    <a:lumMod val="60000"/>
    <a:lumOff val="40000"/>
  </a:schemeClr>
  <a:schemeClr val="accent4">
    <a:lumMod val="60000"/>
    <a:lumOff val="40000"/>
  </a:schemeClr>
  <a:schemeClr val="accent5">
    <a:lumMod val="60000"/>
    <a:lumOff val="40000"/>
  </a:schemeClr>
  <a:schemeClr val="accent6">
    <a:lumMod val="60000"/>
    <a:lumOff val="40000"/>
  </a:schemeClr>
  <a:schemeClr val="accent1">
    <a:lumMod val="50000"/>
  </a:schemeClr>
  <a:schemeClr val="accent2">
    <a:lumMod val="50000"/>
  </a:schemeClr>
  <a:schemeClr val="accent3">
    <a:lumMod val="50000"/>
  </a:schemeClr>
  <a:schemeClr val="accent4">
    <a:lumMod val="50000"/>
  </a:schemeClr>
  <a:schemeClr val="accent5">
    <a:lumMod val="50000"/>
  </a:schemeClr>
  <a:schemeClr val="accent6">
    <a:lumMod val="50000"/>
  </a:schemeClr>
  <a:schemeClr val="accent1">
    <a:lumMod val="70000"/>
    <a:lumOff val="30000"/>
  </a:schemeClr>
  <a:schemeClr val="accent2">
    <a:lumMod val="70000"/>
    <a:lumOff val="30000"/>
  </a:schemeClr>
  <a:schemeClr val="accent3">
    <a:lumMod val="70000"/>
    <a:lumOff val="30000"/>
  </a:schemeClr>
  <a:schemeClr val="accent4">
    <a:lumMod val="70000"/>
    <a:lumOff val="30000"/>
  </a:schemeClr>
  <a:schemeClr val="accent5">
    <a:lumMod val="70000"/>
    <a:lumOff val="30000"/>
  </a:schemeClr>
  <a:schemeClr val="accent6">
    <a:lumMod val="70000"/>
    <a:lumOff val="30000"/>
  </a:schemeClr>
  <a:schemeClr val="accent1">
    <a:lumMod val="70000"/>
  </a:schemeClr>
  <a:schemeClr val="accent2">
    <a:lumMod val="70000"/>
  </a:schemeClr>
  <a:schemeClr val="accent3">
    <a:lumMod val="70000"/>
  </a:schemeClr>
  <a:schemeClr val="accent4">
    <a:lumMod val="70000"/>
  </a:schemeClr>
  <a:schemeClr val="accent5">
    <a:lumMod val="70000"/>
  </a:schemeClr>
  <a:schemeClr val="accent6">
    <a:lumMod val="70000"/>
  </a:schemeClr>
  <a:schemeClr val="accent1">
    <a:lumMod val="50000"/>
    <a:lumOff val="50000"/>
  </a:schemeClr>
  <a:schemeClr val="accent2">
    <a:lumMod val="50000"/>
    <a:lumOff val="50000"/>
  </a:schemeClr>
  <a:schemeClr val="accent3">
    <a:lumMod val="50000"/>
    <a:lumOff val="50000"/>
  </a:schemeClr>
  <a:schemeClr val="accent4">
    <a:lumMod val="50000"/>
    <a:lumOff val="50000"/>
  </a:schemeClr>
  <a:schemeClr val="accent5">
    <a:lumMod val="50000"/>
    <a:lumOff val="50000"/>
  </a:schemeClr>
  <a:schemeClr val="accent6">
    <a:lumMod val="50000"/>
    <a:lumOff val="50000"/>
  </a:schemeClr>
</cs:colorStyle>
</file>

<file path=xl/charts/style1.xml><?xml version="1.0" encoding="utf-8"?>
<cs:chartStyle xmlns:cs="http://schemas.microsoft.com/office/drawing/2012/chartStyle" xmlns:a="http://schemas.openxmlformats.org/drawingml/2006/main" id="381">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lt1"/>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19050">
        <a:solidFill>
          <a:schemeClr val="lt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381">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lt1"/>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19050">
        <a:solidFill>
          <a:schemeClr val="lt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 Id="rId2"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14</xdr:col>
      <xdr:colOff>66675</xdr:colOff>
      <xdr:row>0</xdr:row>
      <xdr:rowOff>0</xdr:rowOff>
    </xdr:from>
    <xdr:to>
      <xdr:col>21</xdr:col>
      <xdr:colOff>504825</xdr:colOff>
      <xdr:row>11</xdr:row>
      <xdr:rowOff>47625</xdr:rowOff>
    </xdr:to>
    <xdr:graphicFrame>
      <xdr:nvGraphicFramePr>
        <xdr:cNvPr id="2" name="SectionPie"/>
        <xdr:cNvGraphicFramePr>
          <a:graphicFrameLocks noChangeAspect="0"/>
        </xdr:cNvGraphicFramePr>
      </xdr:nvGraphicFramePr>
      <xdr:xfrm>
        <a:off x="13716000" y="0"/>
        <a:ext cx="4572000" cy="30480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66675</xdr:colOff>
      <xdr:row>12</xdr:row>
      <xdr:rowOff>47625</xdr:rowOff>
    </xdr:from>
    <xdr:to>
      <xdr:col>21</xdr:col>
      <xdr:colOff>504825</xdr:colOff>
      <xdr:row>26</xdr:row>
      <xdr:rowOff>142875</xdr:rowOff>
    </xdr:to>
    <xdr:graphicFrame>
      <xdr:nvGraphicFramePr>
        <xdr:cNvPr id="3" name="CompDoughnut"/>
        <xdr:cNvGraphicFramePr>
          <a:graphicFrameLocks noChangeAspect="0"/>
        </xdr:cNvGraphicFramePr>
      </xdr:nvGraphicFramePr>
      <xdr:xfrm>
        <a:off x="13716000" y="3238500"/>
        <a:ext cx="4572000" cy="304800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76DF7D88-CA39-A10C-F397-58B6C0A2F088}" mc:Ignorable="x14ac xr xr2 xr3">
  <dimension ref="A1:GR1000"/>
  <sheetViews>
    <sheetView topLeftCell="A1" workbookViewId="0">
      <selection activeCell="B1" sqref="B1"/>
    </sheetView>
  </sheetViews>
  <sheetFormatPr defaultRowHeight="15" defaultColWidth="8.8515625" customHeight="1"/>
  <cols>
    <col min="1" max="1" width="3.57421875" customWidth="1"/>
    <col min="2" max="6" width="25.7109375" customWidth="1"/>
    <col min="7" max="7" width="3.57421875" customWidth="1"/>
  </cols>
  <sheetData>
    <row r="1" ht="7.5" customHeight="1"/>
    <row r="2" ht="37.5" customHeight="1">
      <c r="B2" s="1" t="s">
        <v>0</v>
      </c>
    </row>
    <row r="3" ht="37.5" customHeight="1"/>
    <row r="4" ht="22.5" customHeight="1">
      <c r="B4" s="2" t="s">
        <v>1</v>
      </c>
    </row>
    <row r="6" ht="26.25" customHeight="1">
      <c r="B6" s="3" t="s">
        <v>2</v>
      </c>
    </row>
    <row r="8" ht="15" customHeight="1">
      <c r="B8" s="4" t="s">
        <v>3</v>
      </c>
      <c r="D8" s="5" t="s">
        <v>4</v>
      </c>
      <c r="E8" s="6" t="s">
        <v>5</v>
      </c>
    </row>
    <row r="9" ht="15" customHeight="1">
      <c r="D9" s="5" t="s">
        <v>6</v>
      </c>
      <c r="E9" s="6" t="s">
        <v>7</v>
      </c>
    </row>
    <row r="10" ht="15" customHeight="1">
      <c r="D10" s="5" t="s">
        <v>8</v>
      </c>
      <c r="E10" s="6" t="s">
        <v>9</v>
      </c>
    </row>
    <row r="11" ht="15" customHeight="1">
      <c r="D11" s="5" t="s">
        <v>10</v>
      </c>
      <c r="E11" s="6" t="s">
        <v>11</v>
      </c>
    </row>
    <row r="12" ht="15" customHeight="1">
      <c r="D12" s="5" t="s">
        <v>12</v>
      </c>
      <c r="E12" s="6" t="s">
        <v>13</v>
      </c>
    </row>
    <row r="14" ht="22.5" customHeight="1">
      <c r="B14" s="7" t="s">
        <v>14</v>
      </c>
    </row>
    <row r="15" ht="15" customHeight="1">
      <c r="B15" s="8" t="s">
        <v>15</v>
      </c>
      <c r="D15" s="6" t="s">
        <v>16</v>
      </c>
    </row>
    <row r="16" ht="15" customHeight="1">
      <c r="B16" s="8" t="s">
        <v>17</v>
      </c>
      <c r="D16" s="6" t="s">
        <v>18</v>
      </c>
    </row>
    <row r="17" ht="15" customHeight="1">
      <c r="B17" s="8" t="s">
        <v>19</v>
      </c>
      <c r="D17" s="6" t="s">
        <v>20</v>
      </c>
    </row>
    <row r="18" ht="15" customHeight="1">
      <c r="B18" s="8" t="s">
        <v>21</v>
      </c>
      <c r="D18" s="6" t="s">
        <v>22</v>
      </c>
    </row>
    <row r="19" ht="15" customHeight="1">
      <c r="B19" s="8" t="s">
        <v>23</v>
      </c>
      <c r="D19" s="6" t="s">
        <v>24</v>
      </c>
    </row>
    <row r="20" ht="15" customHeight="1">
      <c r="B20" s="8" t="s">
        <v>25</v>
      </c>
      <c r="D20" s="6" t="s">
        <v>26</v>
      </c>
    </row>
    <row r="21" ht="15" customHeight="1">
      <c r="B21" s="8" t="s">
        <v>27</v>
      </c>
      <c r="D21" s="6" t="str">
        <f>TEXT(TODAY(),"DD-MMM-YYYY")</f>
        <v>27-May-2026</v>
      </c>
    </row>
    <row r="22" ht="15" customHeight="1">
      <c r="B22" s="8" t="s">
        <v>29</v>
      </c>
      <c r="D22" s="6" t="s">
        <v>30</v>
      </c>
    </row>
    <row r="24" ht="22.5" customHeight="1">
      <c r="B24" s="7" t="s">
        <v>31</v>
      </c>
    </row>
    <row r="25" ht="15" customHeight="1">
      <c r="B25" s="9" t="s">
        <v>32</v>
      </c>
      <c r="C25" s="10" t="s">
        <v>33</v>
      </c>
      <c r="D25" s="9" t="s">
        <v>34</v>
      </c>
      <c r="E25" s="10" t="s">
        <v>35</v>
      </c>
    </row>
    <row r="26" ht="15" customHeight="1">
      <c r="B26" s="9" t="s">
        <v>36</v>
      </c>
      <c r="C26" s="10" t="str">
        <f>TEXT(TODAY(),"DD-MMM-YYYY")</f>
        <v>27-May-2026</v>
      </c>
      <c r="D26" s="9" t="s">
        <v>37</v>
      </c>
      <c r="E26" s="10" t="s">
        <v>38</v>
      </c>
    </row>
    <row r="27" ht="15" customHeight="1">
      <c r="B27" s="9" t="s">
        <v>39</v>
      </c>
      <c r="C27" s="10" t="s">
        <v>40</v>
      </c>
      <c r="D27" s="9" t="s">
        <v>41</v>
      </c>
      <c r="E27" s="10" t="s">
        <v>42</v>
      </c>
    </row>
    <row r="28" ht="15" customHeight="1">
      <c r="B28" s="9" t="s">
        <v>43</v>
      </c>
      <c r="C28" s="10" t="s">
        <v>44</v>
      </c>
      <c r="D28" s="9" t="s">
        <v>45</v>
      </c>
      <c r="E28" s="10" t="s">
        <v>46</v>
      </c>
    </row>
    <row r="30" ht="22.5" customHeight="1">
      <c r="B30" s="11" t="s">
        <v>47</v>
      </c>
    </row>
    <row r="31" ht="15" customHeight="1">
      <c r="B31" s="9" t="s">
        <v>48</v>
      </c>
      <c r="D31" s="12" t="s">
        <v>49</v>
      </c>
    </row>
    <row r="32" ht="15" customHeight="1">
      <c r="B32" s="9" t="s">
        <v>50</v>
      </c>
      <c r="D32" s="12" t="s">
        <v>51</v>
      </c>
    </row>
    <row r="33" ht="15" customHeight="1">
      <c r="B33" s="9" t="s">
        <v>52</v>
      </c>
      <c r="D33" s="12" t="s">
        <v>51</v>
      </c>
    </row>
    <row r="34" ht="15" customHeight="1">
      <c r="B34" s="9" t="s">
        <v>53</v>
      </c>
      <c r="D34" s="12" t="s">
        <v>51</v>
      </c>
    </row>
    <row r="36" ht="15" customHeight="1">
      <c r="B36" s="13" t="s">
        <v>54</v>
      </c>
    </row>
    <row r="40" ht="15" customHeight="1">
      <c r="B40" s="14" t="s">
        <v>55</v>
      </c>
    </row>
  </sheetData>
  <mergeCells>
    <mergeCell ref="B2:F3"/>
    <mergeCell ref="B4:F4"/>
    <mergeCell ref="B6:F6"/>
    <mergeCell ref="B8:C12"/>
    <mergeCell ref="E8:F8"/>
    <mergeCell ref="E9:F9"/>
    <mergeCell ref="E10:F10"/>
    <mergeCell ref="E11:F11"/>
    <mergeCell ref="E12:F12"/>
    <mergeCell ref="B14:F14"/>
    <mergeCell ref="B15:C15"/>
    <mergeCell ref="D15:F15"/>
    <mergeCell ref="B16:C16"/>
    <mergeCell ref="D16:F16"/>
    <mergeCell ref="B17:C17"/>
    <mergeCell ref="D17:F17"/>
    <mergeCell ref="B18:C18"/>
    <mergeCell ref="D18:F18"/>
    <mergeCell ref="B19:C19"/>
    <mergeCell ref="D19:F19"/>
    <mergeCell ref="B20:C20"/>
    <mergeCell ref="D20:F20"/>
    <mergeCell ref="B21:C21"/>
    <mergeCell ref="D21:F21"/>
    <mergeCell ref="B22:C22"/>
    <mergeCell ref="D22:F22"/>
    <mergeCell ref="B24:F24"/>
    <mergeCell ref="E25:F25"/>
    <mergeCell ref="E26:F26"/>
    <mergeCell ref="E27:F27"/>
    <mergeCell ref="E28:F28"/>
    <mergeCell ref="B30:F30"/>
    <mergeCell ref="B31:C31"/>
    <mergeCell ref="D31:F31"/>
    <mergeCell ref="B32:C32"/>
    <mergeCell ref="D32:F32"/>
    <mergeCell ref="B33:C33"/>
    <mergeCell ref="D33:F33"/>
    <mergeCell ref="B34:C34"/>
    <mergeCell ref="D34:F34"/>
    <mergeCell ref="B36:F38"/>
    <mergeCell ref="B40:F40"/>
  </mergeCells>
  <printOptions/>
  <pageMargins left="0.7" right="0.7" top="0.75" bottom="0.75" header="0.3" footer="0.3"/>
  <pageSetup paperSize="1" orientation="portrait"/>
  <headerFooter>
    <oddHeader>&amp;L&amp;C&amp;R</oddHeader>
    <oddFooter>&amp;L&amp;C&amp;R</oddFooter>
  </headerFooter>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87397243-1919-54E8-7174-BB53777F3408}" mc:Ignorable="x14ac xr xr2 xr3">
  <dimension ref="A1:GR1000"/>
  <sheetViews>
    <sheetView topLeftCell="A1" workbookViewId="0">
      <selection activeCell="B34" sqref="B34:E34"/>
    </sheetView>
  </sheetViews>
  <sheetFormatPr defaultRowHeight="15" defaultColWidth="8.8515625" customHeight="1"/>
  <cols>
    <col min="1" max="1" width="3.57421875" customWidth="1"/>
    <col min="2" max="5" width="31.421875" customWidth="1"/>
  </cols>
  <sheetData>
    <row r="1" ht="30" customHeight="1">
      <c r="B1" s="15" t="s">
        <v>56</v>
      </c>
    </row>
    <row r="3" ht="18.75" customHeight="1">
      <c r="B3" s="16" t="s">
        <v>57</v>
      </c>
    </row>
    <row r="4" ht="15" customHeight="1">
      <c r="B4" s="17" t="s">
        <v>58</v>
      </c>
      <c r="C4" s="17" t="s">
        <v>59</v>
      </c>
      <c r="D4" s="17" t="s">
        <v>60</v>
      </c>
      <c r="E4" s="17" t="s">
        <v>61</v>
      </c>
    </row>
    <row r="5" ht="15" customHeight="1">
      <c r="B5" s="18" t="s">
        <v>62</v>
      </c>
      <c r="C5" s="6" t="s">
        <v>63</v>
      </c>
      <c r="D5" s="6" t="s">
        <v>64</v>
      </c>
      <c r="E5" s="6" t="s">
        <v>65</v>
      </c>
    </row>
    <row r="6" ht="15" customHeight="1">
      <c r="B6" s="19" t="s">
        <v>66</v>
      </c>
      <c r="C6" s="20">
        <v>2400</v>
      </c>
      <c r="D6" s="20" t="s">
        <v>67</v>
      </c>
      <c r="E6" s="20" t="s">
        <v>68</v>
      </c>
    </row>
    <row r="7" ht="15" customHeight="1">
      <c r="B7" s="18" t="s">
        <v>69</v>
      </c>
      <c r="C7" s="6">
        <v>900</v>
      </c>
      <c r="D7" s="6" t="s">
        <v>67</v>
      </c>
      <c r="E7" s="6" t="s">
        <v>70</v>
      </c>
    </row>
    <row r="8" ht="15" customHeight="1">
      <c r="B8" s="19" t="s">
        <v>71</v>
      </c>
      <c r="C8" s="20">
        <v>900</v>
      </c>
      <c r="D8" s="20" t="s">
        <v>67</v>
      </c>
      <c r="E8" s="20" t="s">
        <v>72</v>
      </c>
    </row>
    <row r="9" ht="15" customHeight="1">
      <c r="B9" s="18" t="s">
        <v>73</v>
      </c>
      <c r="C9" s="6">
        <f>C7+C8</f>
        <v>1800</v>
      </c>
      <c r="D9" s="6" t="s">
        <v>67</v>
      </c>
      <c r="E9" s="6" t="s">
        <v>74</v>
      </c>
    </row>
    <row r="10" ht="15" customHeight="1">
      <c r="B10" s="19" t="s">
        <v>75</v>
      </c>
      <c r="C10" s="20">
        <f>C9*0.0929</f>
        <v>167.22</v>
      </c>
      <c r="D10" s="20" t="s">
        <v>76</v>
      </c>
      <c r="E10" s="20" t="s">
        <v>77</v>
      </c>
    </row>
    <row r="11" ht="15" customHeight="1">
      <c r="B11" s="18" t="s">
        <v>78</v>
      </c>
      <c r="C11" s="6">
        <v>10</v>
      </c>
      <c r="D11" s="6" t="s">
        <v>79</v>
      </c>
      <c r="E11" s="6" t="s">
        <v>80</v>
      </c>
    </row>
    <row r="12" ht="15" customHeight="1">
      <c r="B12" s="19" t="s">
        <v>81</v>
      </c>
      <c r="C12" s="20">
        <v>2</v>
      </c>
      <c r="D12" s="20" t="s">
        <v>82</v>
      </c>
      <c r="E12" s="20" t="s">
        <v>83</v>
      </c>
    </row>
    <row r="13" ht="15" customHeight="1">
      <c r="B13" s="18" t="s">
        <v>84</v>
      </c>
      <c r="C13" s="6">
        <v>2</v>
      </c>
      <c r="D13" s="6" t="s">
        <v>82</v>
      </c>
      <c r="E13" s="6"/>
    </row>
    <row r="14" ht="15" customHeight="1">
      <c r="B14" s="19" t="s">
        <v>85</v>
      </c>
      <c r="C14" s="20" t="s">
        <v>86</v>
      </c>
      <c r="D14" s="20" t="s">
        <v>64</v>
      </c>
      <c r="E14" s="20" t="s">
        <v>87</v>
      </c>
    </row>
    <row r="15" ht="15" customHeight="1">
      <c r="B15" s="18" t="s">
        <v>88</v>
      </c>
      <c r="C15" s="6" t="s">
        <v>89</v>
      </c>
      <c r="D15" s="6" t="s">
        <v>64</v>
      </c>
      <c r="E15" s="6" t="s">
        <v>90</v>
      </c>
    </row>
    <row r="16" ht="15" customHeight="1">
      <c r="B16" s="19" t="s">
        <v>91</v>
      </c>
      <c r="C16" s="20" t="s">
        <v>92</v>
      </c>
      <c r="D16" s="20" t="s">
        <v>64</v>
      </c>
      <c r="E16" s="20" t="s">
        <v>93</v>
      </c>
    </row>
    <row r="17" ht="15" customHeight="1">
      <c r="B17" s="18" t="s">
        <v>94</v>
      </c>
      <c r="C17" s="6" t="s">
        <v>95</v>
      </c>
      <c r="D17" s="6" t="s">
        <v>64</v>
      </c>
      <c r="E17" s="6" t="s">
        <v>96</v>
      </c>
    </row>
    <row r="19" ht="18.75" customHeight="1">
      <c r="B19" s="16" t="s">
        <v>97</v>
      </c>
    </row>
    <row r="20" ht="15" customHeight="1">
      <c r="B20" s="21" t="s">
        <v>58</v>
      </c>
      <c r="C20" s="21" t="s">
        <v>59</v>
      </c>
      <c r="D20" s="21" t="s">
        <v>60</v>
      </c>
      <c r="E20" s="21" t="s">
        <v>98</v>
      </c>
    </row>
    <row r="21" ht="15" customHeight="1">
      <c r="B21" s="18" t="s">
        <v>99</v>
      </c>
      <c r="C21" s="22">
        <v>0.18</v>
      </c>
      <c r="D21" s="6" t="s">
        <v>100</v>
      </c>
      <c r="E21" s="6" t="s">
        <v>101</v>
      </c>
    </row>
    <row r="22" ht="15" customHeight="1">
      <c r="B22" s="19" t="s">
        <v>102</v>
      </c>
      <c r="C22" s="23">
        <v>0.05</v>
      </c>
      <c r="D22" s="20" t="s">
        <v>100</v>
      </c>
      <c r="E22" s="20" t="s">
        <v>103</v>
      </c>
    </row>
    <row r="23" ht="15" customHeight="1">
      <c r="B23" s="18" t="s">
        <v>104</v>
      </c>
      <c r="C23" s="22">
        <v>0.1</v>
      </c>
      <c r="D23" s="6" t="s">
        <v>100</v>
      </c>
      <c r="E23" s="6" t="s">
        <v>105</v>
      </c>
    </row>
    <row r="24" ht="15" customHeight="1">
      <c r="B24" s="19" t="s">
        <v>106</v>
      </c>
      <c r="C24" s="23">
        <v>0.15</v>
      </c>
      <c r="D24" s="20" t="s">
        <v>100</v>
      </c>
      <c r="E24" s="20" t="s">
        <v>107</v>
      </c>
    </row>
    <row r="25" ht="15" customHeight="1">
      <c r="B25" s="18" t="s">
        <v>108</v>
      </c>
      <c r="C25" s="22">
        <v>0.03</v>
      </c>
      <c r="D25" s="6" t="s">
        <v>100</v>
      </c>
      <c r="E25" s="6" t="s">
        <v>109</v>
      </c>
    </row>
    <row r="26" ht="15" customHeight="1">
      <c r="B26" s="19" t="s">
        <v>110</v>
      </c>
      <c r="C26" s="23">
        <v>0.03</v>
      </c>
      <c r="D26" s="20" t="s">
        <v>100</v>
      </c>
      <c r="E26" s="20" t="s">
        <v>111</v>
      </c>
    </row>
    <row r="27" ht="15" customHeight="1">
      <c r="B27" s="18" t="s">
        <v>112</v>
      </c>
      <c r="C27" s="22">
        <v>0.05</v>
      </c>
      <c r="D27" s="6" t="s">
        <v>100</v>
      </c>
      <c r="E27" s="6" t="s">
        <v>113</v>
      </c>
    </row>
    <row r="28" ht="15" customHeight="1">
      <c r="B28" s="19" t="s">
        <v>114</v>
      </c>
      <c r="C28" s="23">
        <v>0.1</v>
      </c>
      <c r="D28" s="20" t="s">
        <v>100</v>
      </c>
      <c r="E28" s="20" t="s">
        <v>115</v>
      </c>
    </row>
    <row r="29" ht="15" customHeight="1">
      <c r="B29" s="18" t="s">
        <v>116</v>
      </c>
      <c r="C29" s="6">
        <v>1</v>
      </c>
      <c r="D29" s="6" t="s">
        <v>64</v>
      </c>
      <c r="E29" s="6" t="s">
        <v>117</v>
      </c>
    </row>
    <row r="30" ht="15" customHeight="1">
      <c r="B30" s="19" t="s">
        <v>118</v>
      </c>
      <c r="C30" s="20">
        <v>1</v>
      </c>
      <c r="D30" s="20" t="s">
        <v>64</v>
      </c>
      <c r="E30" s="20" t="s">
        <v>119</v>
      </c>
    </row>
    <row r="31" ht="15" customHeight="1">
      <c r="B31" s="18" t="s">
        <v>120</v>
      </c>
      <c r="C31" s="6">
        <v>20</v>
      </c>
      <c r="D31" s="6" t="s">
        <v>121</v>
      </c>
      <c r="E31" s="6" t="s">
        <v>122</v>
      </c>
    </row>
    <row r="32" ht="15" customHeight="1">
      <c r="B32" s="19" t="s">
        <v>123</v>
      </c>
      <c r="C32" s="20">
        <v>3</v>
      </c>
      <c r="D32" s="20" t="s">
        <v>124</v>
      </c>
      <c r="E32" s="20" t="s">
        <v>125</v>
      </c>
    </row>
    <row r="34" ht="18.75" customHeight="1">
      <c r="B34" s="24" t="s">
        <v>126</v>
      </c>
    </row>
    <row r="35" ht="15" customHeight="1">
      <c r="B35" s="9" t="s">
        <v>127</v>
      </c>
      <c r="C35" s="25" t="s">
        <v>128</v>
      </c>
      <c r="D35" s="26" t="s">
        <v>129</v>
      </c>
    </row>
    <row r="36" ht="15" customHeight="1">
      <c r="B36" s="9" t="s">
        <v>130</v>
      </c>
      <c r="C36" s="10" t="s">
        <v>131</v>
      </c>
      <c r="D36" s="9" t="s">
        <v>132</v>
      </c>
      <c r="E36" s="10" t="s">
        <v>133</v>
      </c>
    </row>
    <row r="37" ht="15" customHeight="1">
      <c r="B37" s="9" t="s">
        <v>134</v>
      </c>
      <c r="C37" s="27">
        <f>TODAY()</f>
        <v>46169</v>
      </c>
      <c r="D37" s="9" t="s">
        <v>135</v>
      </c>
      <c r="E37" s="27">
        <f>C37+30</f>
        <v>46199</v>
      </c>
    </row>
    <row r="39" ht="18.75" customHeight="1">
      <c r="B39" s="24" t="s">
        <v>136</v>
      </c>
    </row>
    <row r="40" ht="15" customHeight="1">
      <c r="B40" s="21" t="s">
        <v>137</v>
      </c>
      <c r="C40" s="21" t="s">
        <v>138</v>
      </c>
      <c r="D40" s="21" t="s">
        <v>139</v>
      </c>
      <c r="E40" s="21" t="s">
        <v>140</v>
      </c>
    </row>
    <row r="41" ht="15" customHeight="1">
      <c r="B41" s="28" t="s">
        <v>141</v>
      </c>
      <c r="C41" s="10" t="s">
        <v>142</v>
      </c>
      <c r="D41" s="10" t="s">
        <v>143</v>
      </c>
      <c r="E41" s="10">
        <v>1992</v>
      </c>
    </row>
    <row r="42" ht="15" customHeight="1">
      <c r="B42" s="29" t="s">
        <v>144</v>
      </c>
      <c r="C42" s="30" t="s">
        <v>145</v>
      </c>
      <c r="D42" s="30" t="s">
        <v>146</v>
      </c>
      <c r="E42" s="30">
        <v>2000</v>
      </c>
    </row>
    <row r="43" ht="15" customHeight="1">
      <c r="B43" s="28" t="s">
        <v>147</v>
      </c>
      <c r="C43" s="10" t="s">
        <v>148</v>
      </c>
      <c r="D43" s="10" t="s">
        <v>149</v>
      </c>
      <c r="E43" s="10">
        <v>1987</v>
      </c>
    </row>
    <row r="44" ht="15" customHeight="1">
      <c r="B44" s="29" t="s">
        <v>150</v>
      </c>
      <c r="C44" s="30" t="s">
        <v>151</v>
      </c>
      <c r="D44" s="30" t="s">
        <v>152</v>
      </c>
      <c r="E44" s="30">
        <v>2016</v>
      </c>
    </row>
    <row r="45" ht="15" customHeight="1">
      <c r="B45" s="28" t="s">
        <v>153</v>
      </c>
      <c r="C45" s="10" t="s">
        <v>154</v>
      </c>
      <c r="D45" s="10" t="s">
        <v>155</v>
      </c>
      <c r="E45" s="10">
        <v>1963</v>
      </c>
    </row>
    <row r="46" ht="15" customHeight="1">
      <c r="B46" s="29" t="s">
        <v>156</v>
      </c>
      <c r="C46" s="30" t="s">
        <v>157</v>
      </c>
      <c r="D46" s="30" t="s">
        <v>158</v>
      </c>
      <c r="E46" s="30">
        <v>2016</v>
      </c>
    </row>
    <row r="47" ht="15" customHeight="1">
      <c r="B47" s="28" t="s">
        <v>159</v>
      </c>
      <c r="C47" s="10" t="s">
        <v>160</v>
      </c>
      <c r="D47" s="10" t="s">
        <v>161</v>
      </c>
      <c r="E47" s="10">
        <v>2024</v>
      </c>
    </row>
    <row r="48" ht="15" customHeight="1">
      <c r="B48" s="29" t="s">
        <v>162</v>
      </c>
      <c r="C48" s="30" t="s">
        <v>163</v>
      </c>
      <c r="D48" s="30" t="s">
        <v>164</v>
      </c>
      <c r="E48" s="30">
        <v>2016</v>
      </c>
    </row>
  </sheetData>
  <mergeCells>
    <mergeCell ref="B1:E1"/>
    <mergeCell ref="B3:E3"/>
    <mergeCell ref="B19:E19"/>
    <mergeCell ref="B34:E34"/>
    <mergeCell ref="D35:E35"/>
    <mergeCell ref="B39:E39"/>
  </mergeCells>
  <printOptions/>
  <pageMargins left="0.7" right="0.7" top="0.75" bottom="0.75" header="0.3" footer="0.3"/>
  <pageSetup paperSize="1" orientation="portrait"/>
  <headerFooter>
    <oddHeader>&amp;L&amp;C&amp;R</oddHeader>
    <oddFooter>&amp;L&amp;C&amp;R</oddFooter>
  </headerFooter>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9EF9A0F-7948-6272-66FD-A50751913068}" mc:Ignorable="x14ac xr xr2 xr3">
  <dimension ref="A1:GR1000"/>
  <sheetViews>
    <sheetView topLeftCell="A1" workbookViewId="0">
      <pane ySplit="5" topLeftCell="A52" activePane="bottomLeft" state="frozen"/>
      <selection pane="bottomLeft" activeCell="B66" sqref="B66:L66"/>
    </sheetView>
  </sheetViews>
  <sheetFormatPr defaultRowHeight="15" defaultColWidth="8.8515625" customHeight="1"/>
  <cols>
    <col min="1" max="1" width="4.28125" customWidth="1"/>
    <col min="2" max="2" width="8.57421875" customWidth="1"/>
    <col min="3" max="3" width="12.8515625" customWidth="1"/>
    <col min="4" max="4" width="45.7109375" customWidth="1"/>
    <col min="5" max="5" width="10.7109375" customWidth="1"/>
    <col min="6" max="8" width="15.00390625" customWidth="1"/>
    <col min="9" max="10" width="12.8515625" customWidth="1"/>
    <col min="11" max="11" width="23.57421875" customWidth="1"/>
    <col min="12" max="12" width="19.28125" customWidth="1"/>
  </cols>
  <sheetData>
    <row r="1" ht="30" customHeight="1">
      <c r="B1" s="31" t="s">
        <v>165</v>
      </c>
    </row>
    <row r="2" ht="16.5" customHeight="1">
      <c r="B2" s="32" t="s">
        <v>166</v>
      </c>
    </row>
    <row r="3" ht="18" customHeight="1">
      <c r="B3" s="33" t="s">
        <v>167</v>
      </c>
      <c r="I3" s="34" t="str">
        <f>Project_Info!C35</f>
        <v>Market</v>
      </c>
      <c r="J3" s="34" t="str">
        <f>"Last Database Update: "&amp;TEXT(TODAY(),"DD-MMM-YYYY")</f>
        <v>Last Database Update: 27-May-2026</v>
      </c>
    </row>
    <row r="5" ht="26.25" customHeight="1">
      <c r="B5" s="35" t="s">
        <v>169</v>
      </c>
      <c r="C5" s="35" t="s">
        <v>137</v>
      </c>
      <c r="D5" s="35" t="s">
        <v>170</v>
      </c>
      <c r="E5" s="35" t="s">
        <v>60</v>
      </c>
      <c r="F5" s="35" t="s">
        <v>171</v>
      </c>
      <c r="G5" s="35" t="s">
        <v>172</v>
      </c>
      <c r="H5" s="35" t="s">
        <v>173</v>
      </c>
      <c r="I5" s="35" t="s">
        <v>174</v>
      </c>
      <c r="J5" s="35" t="s">
        <v>175</v>
      </c>
      <c r="K5" s="35" t="s">
        <v>176</v>
      </c>
      <c r="L5" s="35" t="s">
        <v>61</v>
      </c>
    </row>
    <row r="6" ht="18.75" customHeight="1">
      <c r="B6" s="36" t="s">
        <v>177</v>
      </c>
    </row>
    <row r="7" ht="15" customHeight="1">
      <c r="B7" s="37">
        <v>1</v>
      </c>
      <c r="C7" s="38" t="s">
        <v>178</v>
      </c>
      <c r="D7" s="38" t="s">
        <v>179</v>
      </c>
      <c r="E7" s="37" t="s">
        <v>180</v>
      </c>
      <c r="F7" s="39">
        <v>475</v>
      </c>
      <c r="G7" s="39">
        <v>510</v>
      </c>
      <c r="H7" s="40">
        <f>IF(Project_Info!$C$35="DSR",F7*J7,G7*J7)</f>
        <v>510</v>
      </c>
      <c r="I7" s="37" t="s">
        <v>181</v>
      </c>
      <c r="J7" s="41">
        <v>1</v>
      </c>
      <c r="K7" s="38" t="s">
        <v>182</v>
      </c>
      <c r="L7" s="38" t="s">
        <v>183</v>
      </c>
    </row>
    <row r="8" ht="15" customHeight="1">
      <c r="B8" s="42">
        <v>2</v>
      </c>
      <c r="C8" s="43" t="s">
        <v>184</v>
      </c>
      <c r="D8" s="43" t="s">
        <v>185</v>
      </c>
      <c r="E8" s="42" t="s">
        <v>180</v>
      </c>
      <c r="F8" s="44">
        <v>495</v>
      </c>
      <c r="G8" s="44">
        <v>535</v>
      </c>
      <c r="H8" s="40">
        <f>IF(Project_Info!$C$35="DSR",F8*J8,G8*J8)</f>
        <v>535</v>
      </c>
      <c r="I8" s="42" t="s">
        <v>181</v>
      </c>
      <c r="J8" s="45">
        <v>1</v>
      </c>
      <c r="K8" s="43" t="s">
        <v>186</v>
      </c>
      <c r="L8" s="43" t="s">
        <v>187</v>
      </c>
    </row>
    <row r="9" ht="15" customHeight="1">
      <c r="B9" s="37">
        <v>3</v>
      </c>
      <c r="C9" s="38" t="s">
        <v>188</v>
      </c>
      <c r="D9" s="38" t="s">
        <v>189</v>
      </c>
      <c r="E9" s="37" t="s">
        <v>180</v>
      </c>
      <c r="F9" s="39">
        <v>460</v>
      </c>
      <c r="G9" s="39">
        <v>495</v>
      </c>
      <c r="H9" s="40">
        <f>IF(Project_Info!$C$35="DSR",F9*J9,G9*J9)</f>
        <v>495</v>
      </c>
      <c r="I9" s="37" t="s">
        <v>181</v>
      </c>
      <c r="J9" s="41">
        <v>1</v>
      </c>
      <c r="K9" s="38" t="s">
        <v>190</v>
      </c>
      <c r="L9" s="38" t="s">
        <v>191</v>
      </c>
    </row>
    <row r="10" ht="15" customHeight="1">
      <c r="B10" s="42">
        <v>4</v>
      </c>
      <c r="C10" s="43" t="s">
        <v>192</v>
      </c>
      <c r="D10" s="43" t="s">
        <v>193</v>
      </c>
      <c r="E10" s="42" t="s">
        <v>180</v>
      </c>
      <c r="F10" s="44">
        <v>465</v>
      </c>
      <c r="G10" s="44">
        <v>500</v>
      </c>
      <c r="H10" s="40">
        <f>IF(Project_Info!$C$35="DSR",F10*J10,G10*J10)</f>
        <v>500</v>
      </c>
      <c r="I10" s="42" t="s">
        <v>181</v>
      </c>
      <c r="J10" s="45">
        <v>1</v>
      </c>
      <c r="K10" s="43" t="s">
        <v>194</v>
      </c>
      <c r="L10" s="43"/>
    </row>
    <row r="11" ht="15" customHeight="1">
      <c r="B11" s="37">
        <v>5</v>
      </c>
      <c r="C11" s="38" t="s">
        <v>195</v>
      </c>
      <c r="D11" s="38" t="s">
        <v>196</v>
      </c>
      <c r="E11" s="37" t="s">
        <v>180</v>
      </c>
      <c r="F11" s="39">
        <v>1050</v>
      </c>
      <c r="G11" s="39">
        <v>1180</v>
      </c>
      <c r="H11" s="40">
        <f>IF(Project_Info!$C$35="DSR",F11*J11,G11*J11)</f>
        <v>1180</v>
      </c>
      <c r="I11" s="37" t="s">
        <v>181</v>
      </c>
      <c r="J11" s="41">
        <v>1</v>
      </c>
      <c r="K11" s="38" t="s">
        <v>197</v>
      </c>
      <c r="L11" s="38" t="s">
        <v>198</v>
      </c>
    </row>
    <row r="12" ht="18.75" customHeight="1">
      <c r="B12" s="36" t="s">
        <v>199</v>
      </c>
    </row>
    <row r="13" ht="15" customHeight="1">
      <c r="B13" s="37">
        <v>6</v>
      </c>
      <c r="C13" s="38" t="s">
        <v>200</v>
      </c>
      <c r="D13" s="38" t="s">
        <v>201</v>
      </c>
      <c r="E13" s="37" t="s">
        <v>202</v>
      </c>
      <c r="F13" s="39">
        <v>72000</v>
      </c>
      <c r="G13" s="39">
        <v>78500</v>
      </c>
      <c r="H13" s="40">
        <f>IF(Project_Info!$C$35="DSR",F13*J13,G13*J13)</f>
        <v>78500</v>
      </c>
      <c r="I13" s="37" t="s">
        <v>181</v>
      </c>
      <c r="J13" s="41">
        <v>1</v>
      </c>
      <c r="K13" s="38" t="s">
        <v>203</v>
      </c>
      <c r="L13" s="38" t="s">
        <v>204</v>
      </c>
    </row>
    <row r="14" ht="15" customHeight="1">
      <c r="B14" s="42">
        <v>7</v>
      </c>
      <c r="C14" s="43" t="s">
        <v>205</v>
      </c>
      <c r="D14" s="43" t="s">
        <v>206</v>
      </c>
      <c r="E14" s="42" t="s">
        <v>202</v>
      </c>
      <c r="F14" s="44">
        <v>71500</v>
      </c>
      <c r="G14" s="44">
        <v>78000</v>
      </c>
      <c r="H14" s="40">
        <f>IF(Project_Info!$C$35="DSR",F14*J14,G14*J14)</f>
        <v>78000</v>
      </c>
      <c r="I14" s="42" t="s">
        <v>181</v>
      </c>
      <c r="J14" s="45">
        <v>1</v>
      </c>
      <c r="K14" s="43" t="s">
        <v>203</v>
      </c>
      <c r="L14" s="43" t="s">
        <v>204</v>
      </c>
    </row>
    <row r="15" ht="15" customHeight="1">
      <c r="B15" s="37">
        <v>8</v>
      </c>
      <c r="C15" s="38" t="s">
        <v>207</v>
      </c>
      <c r="D15" s="38" t="s">
        <v>208</v>
      </c>
      <c r="E15" s="37" t="s">
        <v>202</v>
      </c>
      <c r="F15" s="39">
        <v>71000</v>
      </c>
      <c r="G15" s="39">
        <v>77500</v>
      </c>
      <c r="H15" s="40">
        <f>IF(Project_Info!$C$35="DSR",F15*J15,G15*J15)</f>
        <v>77500</v>
      </c>
      <c r="I15" s="37" t="s">
        <v>181</v>
      </c>
      <c r="J15" s="41">
        <v>1</v>
      </c>
      <c r="K15" s="38" t="s">
        <v>209</v>
      </c>
      <c r="L15" s="38" t="s">
        <v>210</v>
      </c>
    </row>
    <row r="16" ht="15" customHeight="1">
      <c r="B16" s="42">
        <v>9</v>
      </c>
      <c r="C16" s="43" t="s">
        <v>211</v>
      </c>
      <c r="D16" s="43" t="s">
        <v>212</v>
      </c>
      <c r="E16" s="42" t="s">
        <v>202</v>
      </c>
      <c r="F16" s="44">
        <v>71000</v>
      </c>
      <c r="G16" s="44">
        <v>77500</v>
      </c>
      <c r="H16" s="40">
        <f>IF(Project_Info!$C$35="DSR",F16*J16,G16*J16)</f>
        <v>77500</v>
      </c>
      <c r="I16" s="42" t="s">
        <v>181</v>
      </c>
      <c r="J16" s="45">
        <v>1</v>
      </c>
      <c r="K16" s="43" t="s">
        <v>209</v>
      </c>
      <c r="L16" s="43" t="s">
        <v>213</v>
      </c>
    </row>
    <row r="17" ht="15" customHeight="1">
      <c r="B17" s="37">
        <v>10</v>
      </c>
      <c r="C17" s="38" t="s">
        <v>214</v>
      </c>
      <c r="D17" s="38" t="s">
        <v>215</v>
      </c>
      <c r="E17" s="37" t="s">
        <v>202</v>
      </c>
      <c r="F17" s="39">
        <v>73000</v>
      </c>
      <c r="G17" s="39">
        <v>80000</v>
      </c>
      <c r="H17" s="40">
        <f>IF(Project_Info!$C$35="DSR",F17*J17,G17*J17)</f>
        <v>80000</v>
      </c>
      <c r="I17" s="37" t="s">
        <v>181</v>
      </c>
      <c r="J17" s="41">
        <v>1</v>
      </c>
      <c r="K17" s="38" t="s">
        <v>203</v>
      </c>
      <c r="L17" s="38" t="s">
        <v>216</v>
      </c>
    </row>
    <row r="18" ht="15" customHeight="1">
      <c r="B18" s="42">
        <v>11</v>
      </c>
      <c r="C18" s="43" t="s">
        <v>217</v>
      </c>
      <c r="D18" s="43" t="s">
        <v>218</v>
      </c>
      <c r="E18" s="42" t="s">
        <v>219</v>
      </c>
      <c r="F18" s="44">
        <v>78</v>
      </c>
      <c r="G18" s="44">
        <v>88</v>
      </c>
      <c r="H18" s="40">
        <f>IF(Project_Info!$C$35="DSR",F18*J18,G18*J18)</f>
        <v>88</v>
      </c>
      <c r="I18" s="42" t="s">
        <v>181</v>
      </c>
      <c r="J18" s="45">
        <v>1</v>
      </c>
      <c r="K18" s="43" t="s">
        <v>220</v>
      </c>
      <c r="L18" s="43" t="s">
        <v>221</v>
      </c>
    </row>
    <row r="19" ht="18.75" customHeight="1">
      <c r="B19" s="36" t="s">
        <v>222</v>
      </c>
    </row>
    <row r="20" ht="15" customHeight="1">
      <c r="B20" s="42">
        <v>12</v>
      </c>
      <c r="C20" s="43" t="s">
        <v>223</v>
      </c>
      <c r="D20" s="43" t="s">
        <v>224</v>
      </c>
      <c r="E20" s="42" t="s">
        <v>225</v>
      </c>
      <c r="F20" s="44">
        <v>2200</v>
      </c>
      <c r="G20" s="44">
        <v>2600</v>
      </c>
      <c r="H20" s="40">
        <f>IF(Project_Info!$C$35="DSR",F20*J20,G20*J20)</f>
        <v>2730</v>
      </c>
      <c r="I20" s="42" t="s">
        <v>181</v>
      </c>
      <c r="J20" s="45">
        <v>1.05</v>
      </c>
      <c r="K20" s="43" t="s">
        <v>226</v>
      </c>
      <c r="L20" s="43" t="s">
        <v>227</v>
      </c>
    </row>
    <row r="21" ht="15" customHeight="1">
      <c r="B21" s="37">
        <v>13</v>
      </c>
      <c r="C21" s="38" t="s">
        <v>228</v>
      </c>
      <c r="D21" s="38" t="s">
        <v>229</v>
      </c>
      <c r="E21" s="37" t="s">
        <v>225</v>
      </c>
      <c r="F21" s="39">
        <v>1450</v>
      </c>
      <c r="G21" s="39">
        <v>1700</v>
      </c>
      <c r="H21" s="40">
        <f>IF(Project_Info!$C$35="DSR",F21*J21,G21*J21)</f>
        <v>1700</v>
      </c>
      <c r="I21" s="37" t="s">
        <v>181</v>
      </c>
      <c r="J21" s="41">
        <v>1</v>
      </c>
      <c r="K21" s="38" t="s">
        <v>230</v>
      </c>
      <c r="L21" s="38" t="s">
        <v>231</v>
      </c>
    </row>
    <row r="22" ht="15" customHeight="1">
      <c r="B22" s="42">
        <v>14</v>
      </c>
      <c r="C22" s="43" t="s">
        <v>232</v>
      </c>
      <c r="D22" s="43" t="s">
        <v>233</v>
      </c>
      <c r="E22" s="42" t="s">
        <v>225</v>
      </c>
      <c r="F22" s="44">
        <v>2400</v>
      </c>
      <c r="G22" s="44">
        <v>2800</v>
      </c>
      <c r="H22" s="40">
        <f>IF(Project_Info!$C$35="DSR",F22*J22,G22*J22)</f>
        <v>2940</v>
      </c>
      <c r="I22" s="42" t="s">
        <v>181</v>
      </c>
      <c r="J22" s="45">
        <v>1.05</v>
      </c>
      <c r="K22" s="43" t="s">
        <v>220</v>
      </c>
      <c r="L22" s="43" t="s">
        <v>234</v>
      </c>
    </row>
    <row r="23" ht="15" customHeight="1">
      <c r="B23" s="37">
        <v>15</v>
      </c>
      <c r="C23" s="38" t="s">
        <v>235</v>
      </c>
      <c r="D23" s="38" t="s">
        <v>236</v>
      </c>
      <c r="E23" s="37" t="s">
        <v>225</v>
      </c>
      <c r="F23" s="39">
        <v>1450</v>
      </c>
      <c r="G23" s="39">
        <v>1650</v>
      </c>
      <c r="H23" s="40">
        <f>IF(Project_Info!$C$35="DSR",F23*J23,G23*J23)</f>
        <v>1650</v>
      </c>
      <c r="I23" s="37" t="s">
        <v>181</v>
      </c>
      <c r="J23" s="41">
        <v>1</v>
      </c>
      <c r="K23" s="38" t="s">
        <v>237</v>
      </c>
      <c r="L23" s="38" t="s">
        <v>238</v>
      </c>
    </row>
    <row r="24" ht="15" customHeight="1">
      <c r="B24" s="42">
        <v>16</v>
      </c>
      <c r="C24" s="43" t="s">
        <v>239</v>
      </c>
      <c r="D24" s="43" t="s">
        <v>240</v>
      </c>
      <c r="E24" s="42" t="s">
        <v>225</v>
      </c>
      <c r="F24" s="44">
        <v>1400</v>
      </c>
      <c r="G24" s="44">
        <v>1600</v>
      </c>
      <c r="H24" s="40">
        <f>IF(Project_Info!$C$35="DSR",F24*J24,G24*J24)</f>
        <v>1600</v>
      </c>
      <c r="I24" s="42" t="s">
        <v>181</v>
      </c>
      <c r="J24" s="45">
        <v>1</v>
      </c>
      <c r="K24" s="43" t="s">
        <v>237</v>
      </c>
      <c r="L24" s="43" t="s">
        <v>241</v>
      </c>
    </row>
    <row r="25" ht="15" customHeight="1">
      <c r="B25" s="37">
        <v>17</v>
      </c>
      <c r="C25" s="38" t="s">
        <v>242</v>
      </c>
      <c r="D25" s="38" t="s">
        <v>243</v>
      </c>
      <c r="E25" s="37" t="s">
        <v>225</v>
      </c>
      <c r="F25" s="39">
        <v>1350</v>
      </c>
      <c r="G25" s="39">
        <v>1550</v>
      </c>
      <c r="H25" s="40">
        <f>IF(Project_Info!$C$35="DSR",F25*J25,G25*J25)</f>
        <v>1550</v>
      </c>
      <c r="I25" s="37" t="s">
        <v>181</v>
      </c>
      <c r="J25" s="41">
        <v>1</v>
      </c>
      <c r="K25" s="38" t="s">
        <v>237</v>
      </c>
      <c r="L25" s="38" t="s">
        <v>244</v>
      </c>
    </row>
    <row r="26" ht="18.75" customHeight="1">
      <c r="B26" s="36" t="s">
        <v>245</v>
      </c>
    </row>
    <row r="27" ht="15" customHeight="1">
      <c r="B27" s="37">
        <v>18</v>
      </c>
      <c r="C27" s="38" t="s">
        <v>246</v>
      </c>
      <c r="D27" s="38" t="s">
        <v>247</v>
      </c>
      <c r="E27" s="37" t="s">
        <v>82</v>
      </c>
      <c r="F27" s="39">
        <v>9</v>
      </c>
      <c r="G27" s="39">
        <v>11</v>
      </c>
      <c r="H27" s="40">
        <f>IF(Project_Info!$C$35="DSR",F27*J27,G27*J27)</f>
        <v>11</v>
      </c>
      <c r="I27" s="37" t="s">
        <v>181</v>
      </c>
      <c r="J27" s="41">
        <v>1</v>
      </c>
      <c r="K27" s="38" t="s">
        <v>248</v>
      </c>
      <c r="L27" s="38" t="s">
        <v>249</v>
      </c>
    </row>
    <row r="28" ht="15" customHeight="1">
      <c r="B28" s="42">
        <v>19</v>
      </c>
      <c r="C28" s="43" t="s">
        <v>250</v>
      </c>
      <c r="D28" s="43" t="s">
        <v>251</v>
      </c>
      <c r="E28" s="42" t="s">
        <v>82</v>
      </c>
      <c r="F28" s="44">
        <v>7</v>
      </c>
      <c r="G28" s="44">
        <v>8.5</v>
      </c>
      <c r="H28" s="40">
        <f>IF(Project_Info!$C$35="DSR",F28*J28,G28*J28)</f>
        <v>8.5</v>
      </c>
      <c r="I28" s="42" t="s">
        <v>181</v>
      </c>
      <c r="J28" s="45">
        <v>1</v>
      </c>
      <c r="K28" s="43" t="s">
        <v>248</v>
      </c>
      <c r="L28" s="43" t="s">
        <v>252</v>
      </c>
    </row>
    <row r="29" ht="15" customHeight="1">
      <c r="B29" s="37">
        <v>20</v>
      </c>
      <c r="C29" s="38" t="s">
        <v>253</v>
      </c>
      <c r="D29" s="38" t="s">
        <v>254</v>
      </c>
      <c r="E29" s="37" t="s">
        <v>82</v>
      </c>
      <c r="F29" s="39">
        <v>6.5</v>
      </c>
      <c r="G29" s="39">
        <v>8</v>
      </c>
      <c r="H29" s="40">
        <f>IF(Project_Info!$C$35="DSR",F29*J29,G29*J29)</f>
        <v>8</v>
      </c>
      <c r="I29" s="37" t="s">
        <v>181</v>
      </c>
      <c r="J29" s="41">
        <v>1</v>
      </c>
      <c r="K29" s="38" t="s">
        <v>255</v>
      </c>
      <c r="L29" s="38" t="s">
        <v>191</v>
      </c>
    </row>
    <row r="30" ht="15" customHeight="1">
      <c r="B30" s="42">
        <v>21</v>
      </c>
      <c r="C30" s="43" t="s">
        <v>256</v>
      </c>
      <c r="D30" s="43" t="s">
        <v>257</v>
      </c>
      <c r="E30" s="42" t="s">
        <v>225</v>
      </c>
      <c r="F30" s="44">
        <v>3200</v>
      </c>
      <c r="G30" s="44">
        <v>3600</v>
      </c>
      <c r="H30" s="40">
        <f>IF(Project_Info!$C$35="DSR",F30*J30,G30*J30)</f>
        <v>3600</v>
      </c>
      <c r="I30" s="42" t="s">
        <v>181</v>
      </c>
      <c r="J30" s="45">
        <v>1</v>
      </c>
      <c r="K30" s="43" t="s">
        <v>258</v>
      </c>
      <c r="L30" s="43" t="s">
        <v>259</v>
      </c>
    </row>
    <row r="31" ht="15" customHeight="1">
      <c r="B31" s="37">
        <v>22</v>
      </c>
      <c r="C31" s="38" t="s">
        <v>260</v>
      </c>
      <c r="D31" s="38" t="s">
        <v>261</v>
      </c>
      <c r="E31" s="37" t="s">
        <v>225</v>
      </c>
      <c r="F31" s="39">
        <v>3200</v>
      </c>
      <c r="G31" s="39">
        <v>3600</v>
      </c>
      <c r="H31" s="40">
        <f>IF(Project_Info!$C$35="DSR",F31*J31,G31*J31)</f>
        <v>3600</v>
      </c>
      <c r="I31" s="37" t="s">
        <v>181</v>
      </c>
      <c r="J31" s="41">
        <v>1</v>
      </c>
      <c r="K31" s="38" t="s">
        <v>262</v>
      </c>
      <c r="L31" s="38" t="s">
        <v>263</v>
      </c>
    </row>
    <row r="32" ht="18.75" customHeight="1">
      <c r="B32" s="36" t="s">
        <v>264</v>
      </c>
    </row>
    <row r="33" ht="15" customHeight="1">
      <c r="B33" s="37">
        <v>23</v>
      </c>
      <c r="C33" s="38" t="s">
        <v>265</v>
      </c>
      <c r="D33" s="38" t="s">
        <v>266</v>
      </c>
      <c r="E33" s="37" t="s">
        <v>76</v>
      </c>
      <c r="F33" s="39">
        <v>750</v>
      </c>
      <c r="G33" s="39">
        <v>850</v>
      </c>
      <c r="H33" s="40">
        <f>IF(Project_Info!$C$35="DSR",F33*J33,G33*J33)</f>
        <v>850</v>
      </c>
      <c r="I33" s="37" t="s">
        <v>181</v>
      </c>
      <c r="J33" s="41">
        <v>1</v>
      </c>
      <c r="K33" s="38" t="s">
        <v>267</v>
      </c>
      <c r="L33" s="38" t="s">
        <v>268</v>
      </c>
    </row>
    <row r="34" ht="15" customHeight="1">
      <c r="B34" s="42">
        <v>24</v>
      </c>
      <c r="C34" s="43" t="s">
        <v>269</v>
      </c>
      <c r="D34" s="43" t="s">
        <v>270</v>
      </c>
      <c r="E34" s="42" t="s">
        <v>76</v>
      </c>
      <c r="F34" s="44">
        <v>480</v>
      </c>
      <c r="G34" s="44">
        <v>580</v>
      </c>
      <c r="H34" s="40">
        <f>IF(Project_Info!$C$35="DSR",F34*J34,G34*J34)</f>
        <v>580</v>
      </c>
      <c r="I34" s="42" t="s">
        <v>181</v>
      </c>
      <c r="J34" s="45">
        <v>1</v>
      </c>
      <c r="K34" s="43" t="s">
        <v>271</v>
      </c>
      <c r="L34" s="43" t="s">
        <v>272</v>
      </c>
    </row>
    <row r="35" ht="15" customHeight="1">
      <c r="B35" s="37">
        <v>25</v>
      </c>
      <c r="C35" s="38" t="s">
        <v>273</v>
      </c>
      <c r="D35" s="38" t="s">
        <v>274</v>
      </c>
      <c r="E35" s="37" t="s">
        <v>76</v>
      </c>
      <c r="F35" s="39">
        <v>420</v>
      </c>
      <c r="G35" s="39">
        <v>520</v>
      </c>
      <c r="H35" s="40">
        <f>IF(Project_Info!$C$35="DSR",F35*J35,G35*J35)</f>
        <v>520</v>
      </c>
      <c r="I35" s="37" t="s">
        <v>181</v>
      </c>
      <c r="J35" s="41">
        <v>1</v>
      </c>
      <c r="K35" s="38" t="s">
        <v>275</v>
      </c>
      <c r="L35" s="38" t="s">
        <v>276</v>
      </c>
    </row>
    <row r="36" ht="15" customHeight="1">
      <c r="B36" s="42">
        <v>26</v>
      </c>
      <c r="C36" s="43" t="s">
        <v>277</v>
      </c>
      <c r="D36" s="43" t="s">
        <v>278</v>
      </c>
      <c r="E36" s="42" t="s">
        <v>76</v>
      </c>
      <c r="F36" s="44">
        <v>650</v>
      </c>
      <c r="G36" s="44">
        <v>780</v>
      </c>
      <c r="H36" s="40">
        <f>IF(Project_Info!$C$35="DSR",F36*J36,G36*J36)</f>
        <v>858</v>
      </c>
      <c r="I36" s="42" t="s">
        <v>181</v>
      </c>
      <c r="J36" s="45">
        <v>1.1</v>
      </c>
      <c r="K36" s="43" t="s">
        <v>279</v>
      </c>
      <c r="L36" s="43" t="s">
        <v>280</v>
      </c>
    </row>
    <row r="37" ht="15" customHeight="1">
      <c r="B37" s="37">
        <v>27</v>
      </c>
      <c r="C37" s="38" t="s">
        <v>281</v>
      </c>
      <c r="D37" s="38" t="s">
        <v>282</v>
      </c>
      <c r="E37" s="37" t="s">
        <v>76</v>
      </c>
      <c r="F37" s="39">
        <v>1800</v>
      </c>
      <c r="G37" s="39">
        <v>2200</v>
      </c>
      <c r="H37" s="40">
        <f>IF(Project_Info!$C$35="DSR",F37*J37,G37*J37)</f>
        <v>2420</v>
      </c>
      <c r="I37" s="37" t="s">
        <v>181</v>
      </c>
      <c r="J37" s="41">
        <v>1.1</v>
      </c>
      <c r="K37" s="38" t="s">
        <v>283</v>
      </c>
      <c r="L37" s="38" t="s">
        <v>284</v>
      </c>
    </row>
    <row r="38" ht="18.75" customHeight="1">
      <c r="B38" s="36" t="s">
        <v>285</v>
      </c>
    </row>
    <row r="39" ht="15" customHeight="1">
      <c r="B39" s="37">
        <v>28</v>
      </c>
      <c r="C39" s="38" t="s">
        <v>286</v>
      </c>
      <c r="D39" s="38" t="s">
        <v>287</v>
      </c>
      <c r="E39" s="37" t="s">
        <v>225</v>
      </c>
      <c r="F39" s="39">
        <v>95000</v>
      </c>
      <c r="G39" s="39">
        <v>115000</v>
      </c>
      <c r="H39" s="40">
        <f>IF(Project_Info!$C$35="DSR",F39*J39,G39*J39)</f>
        <v>115000</v>
      </c>
      <c r="I39" s="37" t="s">
        <v>181</v>
      </c>
      <c r="J39" s="41">
        <v>1</v>
      </c>
      <c r="K39" s="38" t="s">
        <v>288</v>
      </c>
      <c r="L39" s="38" t="s">
        <v>289</v>
      </c>
    </row>
    <row r="40" ht="15" customHeight="1">
      <c r="B40" s="42">
        <v>29</v>
      </c>
      <c r="C40" s="43" t="s">
        <v>290</v>
      </c>
      <c r="D40" s="43" t="s">
        <v>291</v>
      </c>
      <c r="E40" s="42" t="s">
        <v>225</v>
      </c>
      <c r="F40" s="44">
        <v>280000</v>
      </c>
      <c r="G40" s="44">
        <v>340000</v>
      </c>
      <c r="H40" s="40">
        <f>IF(Project_Info!$C$35="DSR",F40*J40,G40*J40)</f>
        <v>340000</v>
      </c>
      <c r="I40" s="42" t="s">
        <v>181</v>
      </c>
      <c r="J40" s="45">
        <v>1</v>
      </c>
      <c r="K40" s="43" t="s">
        <v>292</v>
      </c>
      <c r="L40" s="43" t="s">
        <v>293</v>
      </c>
    </row>
    <row r="41" ht="15" customHeight="1">
      <c r="B41" s="37">
        <v>30</v>
      </c>
      <c r="C41" s="38" t="s">
        <v>294</v>
      </c>
      <c r="D41" s="38" t="s">
        <v>295</v>
      </c>
      <c r="E41" s="37" t="s">
        <v>76</v>
      </c>
      <c r="F41" s="39">
        <v>1800</v>
      </c>
      <c r="G41" s="39">
        <v>2200</v>
      </c>
      <c r="H41" s="40">
        <f>IF(Project_Info!$C$35="DSR",F41*J41,G41*J41)</f>
        <v>2200</v>
      </c>
      <c r="I41" s="37" t="s">
        <v>181</v>
      </c>
      <c r="J41" s="41">
        <v>1</v>
      </c>
      <c r="K41" s="38" t="s">
        <v>296</v>
      </c>
      <c r="L41" s="38" t="s">
        <v>297</v>
      </c>
    </row>
    <row r="42" ht="15" customHeight="1">
      <c r="B42" s="42">
        <v>31</v>
      </c>
      <c r="C42" s="43" t="s">
        <v>298</v>
      </c>
      <c r="D42" s="43" t="s">
        <v>299</v>
      </c>
      <c r="E42" s="42" t="s">
        <v>76</v>
      </c>
      <c r="F42" s="44">
        <v>8500</v>
      </c>
      <c r="G42" s="44">
        <v>12000</v>
      </c>
      <c r="H42" s="40">
        <f>IF(Project_Info!$C$35="DSR",F42*J42,G42*J42)</f>
        <v>12000</v>
      </c>
      <c r="I42" s="42" t="s">
        <v>181</v>
      </c>
      <c r="J42" s="45">
        <v>1</v>
      </c>
      <c r="K42" s="43" t="s">
        <v>300</v>
      </c>
      <c r="L42" s="43" t="s">
        <v>301</v>
      </c>
    </row>
    <row r="43" ht="15" customHeight="1">
      <c r="B43" s="37">
        <v>32</v>
      </c>
      <c r="C43" s="38" t="s">
        <v>302</v>
      </c>
      <c r="D43" s="38" t="s">
        <v>303</v>
      </c>
      <c r="E43" s="37" t="s">
        <v>76</v>
      </c>
      <c r="F43" s="39">
        <v>3200</v>
      </c>
      <c r="G43" s="39">
        <v>3800</v>
      </c>
      <c r="H43" s="40">
        <f>IF(Project_Info!$C$35="DSR",F43*J43,G43*J43)</f>
        <v>3800</v>
      </c>
      <c r="I43" s="37" t="s">
        <v>181</v>
      </c>
      <c r="J43" s="41">
        <v>1</v>
      </c>
      <c r="K43" s="38" t="s">
        <v>304</v>
      </c>
      <c r="L43" s="38" t="s">
        <v>305</v>
      </c>
    </row>
    <row r="44" ht="15" customHeight="1">
      <c r="B44" s="42">
        <v>33</v>
      </c>
      <c r="C44" s="43" t="s">
        <v>306</v>
      </c>
      <c r="D44" s="43" t="s">
        <v>307</v>
      </c>
      <c r="E44" s="42" t="s">
        <v>76</v>
      </c>
      <c r="F44" s="44">
        <v>4800</v>
      </c>
      <c r="G44" s="44">
        <v>5800</v>
      </c>
      <c r="H44" s="40">
        <f>IF(Project_Info!$C$35="DSR",F44*J44,G44*J44)</f>
        <v>5800</v>
      </c>
      <c r="I44" s="42" t="s">
        <v>181</v>
      </c>
      <c r="J44" s="45">
        <v>1</v>
      </c>
      <c r="K44" s="43" t="s">
        <v>308</v>
      </c>
      <c r="L44" s="43" t="s">
        <v>309</v>
      </c>
    </row>
    <row r="45" ht="18.75" customHeight="1">
      <c r="B45" s="36" t="s">
        <v>310</v>
      </c>
    </row>
    <row r="46" ht="15" customHeight="1">
      <c r="B46" s="42">
        <v>34</v>
      </c>
      <c r="C46" s="43" t="s">
        <v>311</v>
      </c>
      <c r="D46" s="43" t="s">
        <v>312</v>
      </c>
      <c r="E46" s="42" t="s">
        <v>313</v>
      </c>
      <c r="F46" s="44">
        <v>145</v>
      </c>
      <c r="G46" s="44">
        <v>175</v>
      </c>
      <c r="H46" s="40">
        <f>IF(Project_Info!$C$35="DSR",F46*J46,G46*J46)</f>
        <v>175</v>
      </c>
      <c r="I46" s="42" t="s">
        <v>181</v>
      </c>
      <c r="J46" s="45">
        <v>1</v>
      </c>
      <c r="K46" s="43" t="s">
        <v>314</v>
      </c>
      <c r="L46" s="43" t="s">
        <v>315</v>
      </c>
    </row>
    <row r="47" ht="15" customHeight="1">
      <c r="B47" s="37">
        <v>35</v>
      </c>
      <c r="C47" s="38" t="s">
        <v>316</v>
      </c>
      <c r="D47" s="38" t="s">
        <v>317</v>
      </c>
      <c r="E47" s="37" t="s">
        <v>313</v>
      </c>
      <c r="F47" s="39">
        <v>110</v>
      </c>
      <c r="G47" s="39">
        <v>135</v>
      </c>
      <c r="H47" s="40">
        <f>IF(Project_Info!$C$35="DSR",F47*J47,G47*J47)</f>
        <v>135</v>
      </c>
      <c r="I47" s="37" t="s">
        <v>181</v>
      </c>
      <c r="J47" s="41">
        <v>1</v>
      </c>
      <c r="K47" s="38" t="s">
        <v>318</v>
      </c>
      <c r="L47" s="38" t="s">
        <v>319</v>
      </c>
    </row>
    <row r="48" ht="15" customHeight="1">
      <c r="B48" s="42">
        <v>36</v>
      </c>
      <c r="C48" s="43" t="s">
        <v>320</v>
      </c>
      <c r="D48" s="43" t="s">
        <v>321</v>
      </c>
      <c r="E48" s="42" t="s">
        <v>313</v>
      </c>
      <c r="F48" s="44">
        <v>260</v>
      </c>
      <c r="G48" s="44">
        <v>320</v>
      </c>
      <c r="H48" s="40">
        <f>IF(Project_Info!$C$35="DSR",F48*J48,G48*J48)</f>
        <v>320</v>
      </c>
      <c r="I48" s="42" t="s">
        <v>181</v>
      </c>
      <c r="J48" s="45">
        <v>1</v>
      </c>
      <c r="K48" s="43" t="s">
        <v>322</v>
      </c>
      <c r="L48" s="43" t="s">
        <v>323</v>
      </c>
    </row>
    <row r="49" ht="15" customHeight="1">
      <c r="B49" s="37">
        <v>37</v>
      </c>
      <c r="C49" s="38" t="s">
        <v>324</v>
      </c>
      <c r="D49" s="38" t="s">
        <v>325</v>
      </c>
      <c r="E49" s="37" t="s">
        <v>313</v>
      </c>
      <c r="F49" s="39">
        <v>320</v>
      </c>
      <c r="G49" s="39">
        <v>380</v>
      </c>
      <c r="H49" s="40">
        <f>IF(Project_Info!$C$35="DSR",F49*J49,G49*J49)</f>
        <v>380</v>
      </c>
      <c r="I49" s="37" t="s">
        <v>181</v>
      </c>
      <c r="J49" s="41">
        <v>1</v>
      </c>
      <c r="K49" s="38" t="s">
        <v>326</v>
      </c>
      <c r="L49" s="38" t="s">
        <v>327</v>
      </c>
    </row>
    <row r="50" ht="15" customHeight="1">
      <c r="B50" s="42">
        <v>38</v>
      </c>
      <c r="C50" s="43" t="s">
        <v>328</v>
      </c>
      <c r="D50" s="43" t="s">
        <v>329</v>
      </c>
      <c r="E50" s="42" t="s">
        <v>313</v>
      </c>
      <c r="F50" s="44">
        <v>280</v>
      </c>
      <c r="G50" s="44">
        <v>340</v>
      </c>
      <c r="H50" s="40">
        <f>IF(Project_Info!$C$35="DSR",F50*J50,G50*J50)</f>
        <v>340</v>
      </c>
      <c r="I50" s="42" t="s">
        <v>181</v>
      </c>
      <c r="J50" s="45">
        <v>1</v>
      </c>
      <c r="K50" s="43" t="s">
        <v>318</v>
      </c>
      <c r="L50" s="43" t="s">
        <v>330</v>
      </c>
    </row>
    <row r="51" ht="18.75" customHeight="1">
      <c r="B51" s="46" t="s">
        <v>331</v>
      </c>
    </row>
    <row r="52" ht="15" customHeight="1">
      <c r="B52" s="42">
        <v>39</v>
      </c>
      <c r="C52" s="43" t="s">
        <v>332</v>
      </c>
      <c r="D52" s="43" t="s">
        <v>333</v>
      </c>
      <c r="E52" s="42" t="s">
        <v>334</v>
      </c>
      <c r="F52" s="44">
        <v>750</v>
      </c>
      <c r="G52" s="44">
        <v>900</v>
      </c>
      <c r="H52" s="40">
        <f>IF(Project_Info!$C$35="DSR",F52*J52,G52*J52)</f>
        <v>900</v>
      </c>
      <c r="I52" s="42" t="s">
        <v>181</v>
      </c>
      <c r="J52" s="45">
        <v>1</v>
      </c>
      <c r="K52" s="43" t="s">
        <v>335</v>
      </c>
      <c r="L52" s="43" t="s">
        <v>336</v>
      </c>
    </row>
    <row r="53" ht="15" customHeight="1">
      <c r="B53" s="37">
        <v>40</v>
      </c>
      <c r="C53" s="38" t="s">
        <v>337</v>
      </c>
      <c r="D53" s="38" t="s">
        <v>338</v>
      </c>
      <c r="E53" s="37" t="s">
        <v>334</v>
      </c>
      <c r="F53" s="39">
        <v>600</v>
      </c>
      <c r="G53" s="39">
        <v>720</v>
      </c>
      <c r="H53" s="40">
        <f>IF(Project_Info!$C$35="DSR",F53*J53,G53*J53)</f>
        <v>720</v>
      </c>
      <c r="I53" s="37" t="s">
        <v>181</v>
      </c>
      <c r="J53" s="41">
        <v>1</v>
      </c>
      <c r="K53" s="38" t="s">
        <v>335</v>
      </c>
      <c r="L53" s="38"/>
    </row>
    <row r="54" ht="15" customHeight="1">
      <c r="B54" s="42">
        <v>41</v>
      </c>
      <c r="C54" s="43" t="s">
        <v>339</v>
      </c>
      <c r="D54" s="43" t="s">
        <v>340</v>
      </c>
      <c r="E54" s="42" t="s">
        <v>334</v>
      </c>
      <c r="F54" s="44">
        <v>800</v>
      </c>
      <c r="G54" s="44">
        <v>950</v>
      </c>
      <c r="H54" s="40">
        <f>IF(Project_Info!$C$35="DSR",F54*J54,G54*J54)</f>
        <v>950</v>
      </c>
      <c r="I54" s="42" t="s">
        <v>181</v>
      </c>
      <c r="J54" s="45">
        <v>1</v>
      </c>
      <c r="K54" s="43" t="s">
        <v>341</v>
      </c>
      <c r="L54" s="43" t="s">
        <v>342</v>
      </c>
    </row>
    <row r="55" ht="15" customHeight="1">
      <c r="B55" s="37">
        <v>42</v>
      </c>
      <c r="C55" s="38" t="s">
        <v>343</v>
      </c>
      <c r="D55" s="38" t="s">
        <v>344</v>
      </c>
      <c r="E55" s="37" t="s">
        <v>334</v>
      </c>
      <c r="F55" s="39">
        <v>800</v>
      </c>
      <c r="G55" s="39">
        <v>950</v>
      </c>
      <c r="H55" s="40">
        <f>IF(Project_Info!$C$35="DSR",F55*J55,G55*J55)</f>
        <v>950</v>
      </c>
      <c r="I55" s="37" t="s">
        <v>181</v>
      </c>
      <c r="J55" s="41">
        <v>1</v>
      </c>
      <c r="K55" s="38" t="s">
        <v>341</v>
      </c>
      <c r="L55" s="38" t="s">
        <v>345</v>
      </c>
    </row>
    <row r="56" ht="15" customHeight="1">
      <c r="B56" s="42">
        <v>43</v>
      </c>
      <c r="C56" s="43" t="s">
        <v>346</v>
      </c>
      <c r="D56" s="43" t="s">
        <v>347</v>
      </c>
      <c r="E56" s="42" t="s">
        <v>334</v>
      </c>
      <c r="F56" s="44">
        <v>700</v>
      </c>
      <c r="G56" s="44">
        <v>850</v>
      </c>
      <c r="H56" s="40">
        <f>IF(Project_Info!$C$35="DSR",F56*J56,G56*J56)</f>
        <v>850</v>
      </c>
      <c r="I56" s="42" t="s">
        <v>181</v>
      </c>
      <c r="J56" s="45">
        <v>1</v>
      </c>
      <c r="K56" s="43" t="s">
        <v>341</v>
      </c>
      <c r="L56" s="43"/>
    </row>
    <row r="57" ht="15" customHeight="1">
      <c r="B57" s="37">
        <v>44</v>
      </c>
      <c r="C57" s="38" t="s">
        <v>348</v>
      </c>
      <c r="D57" s="38" t="s">
        <v>349</v>
      </c>
      <c r="E57" s="37" t="s">
        <v>334</v>
      </c>
      <c r="F57" s="39">
        <v>450</v>
      </c>
      <c r="G57" s="39">
        <v>550</v>
      </c>
      <c r="H57" s="40">
        <f>IF(Project_Info!$C$35="DSR",F57*J57,G57*J57)</f>
        <v>550</v>
      </c>
      <c r="I57" s="37" t="s">
        <v>181</v>
      </c>
      <c r="J57" s="41">
        <v>1</v>
      </c>
      <c r="K57" s="38" t="s">
        <v>335</v>
      </c>
      <c r="L57" s="38" t="s">
        <v>350</v>
      </c>
    </row>
    <row r="58" ht="15" customHeight="1">
      <c r="B58" s="42">
        <v>45</v>
      </c>
      <c r="C58" s="43" t="s">
        <v>351</v>
      </c>
      <c r="D58" s="43" t="s">
        <v>352</v>
      </c>
      <c r="E58" s="42" t="s">
        <v>334</v>
      </c>
      <c r="F58" s="44">
        <v>850</v>
      </c>
      <c r="G58" s="44">
        <v>1000</v>
      </c>
      <c r="H58" s="40">
        <f>IF(Project_Info!$C$35="DSR",F58*J58,G58*J58)</f>
        <v>1000</v>
      </c>
      <c r="I58" s="42" t="s">
        <v>181</v>
      </c>
      <c r="J58" s="45">
        <v>1</v>
      </c>
      <c r="K58" s="43" t="s">
        <v>341</v>
      </c>
      <c r="L58" s="43"/>
    </row>
    <row r="59" ht="18.75" customHeight="1">
      <c r="B59" s="36" t="s">
        <v>353</v>
      </c>
    </row>
    <row r="60" ht="15" customHeight="1">
      <c r="B60" s="42">
        <v>46</v>
      </c>
      <c r="C60" s="43" t="s">
        <v>354</v>
      </c>
      <c r="D60" s="43" t="s">
        <v>355</v>
      </c>
      <c r="E60" s="42" t="s">
        <v>219</v>
      </c>
      <c r="F60" s="44">
        <v>240</v>
      </c>
      <c r="G60" s="44">
        <v>290</v>
      </c>
      <c r="H60" s="40">
        <f>IF(Project_Info!$C$35="DSR",F60*J60,G60*J60)</f>
        <v>290</v>
      </c>
      <c r="I60" s="42" t="s">
        <v>181</v>
      </c>
      <c r="J60" s="45">
        <v>1</v>
      </c>
      <c r="K60" s="43" t="s">
        <v>356</v>
      </c>
      <c r="L60" s="43" t="s">
        <v>357</v>
      </c>
    </row>
    <row r="61" ht="15" customHeight="1">
      <c r="B61" s="37">
        <v>47</v>
      </c>
      <c r="C61" s="38" t="s">
        <v>358</v>
      </c>
      <c r="D61" s="38" t="s">
        <v>359</v>
      </c>
      <c r="E61" s="37" t="s">
        <v>76</v>
      </c>
      <c r="F61" s="39">
        <v>380</v>
      </c>
      <c r="G61" s="39">
        <v>460</v>
      </c>
      <c r="H61" s="40">
        <f>IF(Project_Info!$C$35="DSR",F61*J61,G61*J61)</f>
        <v>460</v>
      </c>
      <c r="I61" s="37" t="s">
        <v>181</v>
      </c>
      <c r="J61" s="41">
        <v>1</v>
      </c>
      <c r="K61" s="38" t="s">
        <v>360</v>
      </c>
      <c r="L61" s="38" t="s">
        <v>361</v>
      </c>
    </row>
    <row r="62" ht="15" customHeight="1">
      <c r="B62" s="42">
        <v>48</v>
      </c>
      <c r="C62" s="43" t="s">
        <v>362</v>
      </c>
      <c r="D62" s="43" t="s">
        <v>363</v>
      </c>
      <c r="E62" s="42" t="s">
        <v>313</v>
      </c>
      <c r="F62" s="44">
        <v>165</v>
      </c>
      <c r="G62" s="44">
        <v>195</v>
      </c>
      <c r="H62" s="40">
        <f>IF(Project_Info!$C$35="DSR",F62*J62,G62*J62)</f>
        <v>195</v>
      </c>
      <c r="I62" s="42" t="s">
        <v>181</v>
      </c>
      <c r="J62" s="45">
        <v>1</v>
      </c>
      <c r="K62" s="43" t="s">
        <v>364</v>
      </c>
      <c r="L62" s="43" t="s">
        <v>365</v>
      </c>
    </row>
    <row r="63" ht="15" customHeight="1">
      <c r="B63" s="37">
        <v>49</v>
      </c>
      <c r="C63" s="38" t="s">
        <v>366</v>
      </c>
      <c r="D63" s="38" t="s">
        <v>367</v>
      </c>
      <c r="E63" s="37" t="s">
        <v>313</v>
      </c>
      <c r="F63" s="39">
        <v>95</v>
      </c>
      <c r="G63" s="39">
        <v>115</v>
      </c>
      <c r="H63" s="40">
        <f>IF(Project_Info!$C$35="DSR",F63*J63,G63*J63)</f>
        <v>115</v>
      </c>
      <c r="I63" s="37" t="s">
        <v>181</v>
      </c>
      <c r="J63" s="41">
        <v>1</v>
      </c>
      <c r="K63" s="38" t="s">
        <v>368</v>
      </c>
      <c r="L63" s="38" t="s">
        <v>369</v>
      </c>
    </row>
    <row r="64" ht="15" customHeight="1">
      <c r="B64" s="42">
        <v>50</v>
      </c>
      <c r="C64" s="43" t="s">
        <v>370</v>
      </c>
      <c r="D64" s="43" t="s">
        <v>371</v>
      </c>
      <c r="E64" s="42" t="s">
        <v>219</v>
      </c>
      <c r="F64" s="44">
        <v>22</v>
      </c>
      <c r="G64" s="44">
        <v>28</v>
      </c>
      <c r="H64" s="40">
        <f>IF(Project_Info!$C$35="DSR",F64*J64,G64*J64)</f>
        <v>28</v>
      </c>
      <c r="I64" s="42" t="s">
        <v>181</v>
      </c>
      <c r="J64" s="45">
        <v>1</v>
      </c>
      <c r="K64" s="43" t="s">
        <v>372</v>
      </c>
      <c r="L64" s="43" t="s">
        <v>373</v>
      </c>
    </row>
    <row r="66" ht="30" customHeight="1">
      <c r="B66" s="47" t="s">
        <v>374</v>
      </c>
    </row>
    <row r="68" ht="15" customHeight="1">
      <c r="B68" s="48" t="s">
        <v>375</v>
      </c>
    </row>
  </sheetData>
  <mergeCells>
    <mergeCell ref="B1:L1"/>
    <mergeCell ref="B2:L2"/>
    <mergeCell ref="B3:H3"/>
    <mergeCell ref="J3:L3"/>
    <mergeCell ref="B6:L6"/>
    <mergeCell ref="B12:L12"/>
    <mergeCell ref="B19:L19"/>
    <mergeCell ref="B26:L26"/>
    <mergeCell ref="B32:L32"/>
    <mergeCell ref="B38:L38"/>
    <mergeCell ref="B45:L45"/>
    <mergeCell ref="B51:L51"/>
    <mergeCell ref="B59:L59"/>
    <mergeCell ref="B66:L66"/>
    <mergeCell ref="B68:L68"/>
  </mergeCells>
  <printOptions/>
  <pageMargins left="0.7" right="0.7" top="0.75" bottom="0.75" header="0.3" footer="0.3"/>
  <pageSetup paperSize="1" orientation="portrait"/>
  <headerFooter>
    <oddHeader>&amp;L&amp;C&amp;R</oddHeader>
    <oddFooter>&amp;L&amp;C&amp;R</oddFooter>
  </headerFooter>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96D06DBA-A193-3562-DDC2-3BBADC0F61BE}" mc:Ignorable="x14ac xr xr2 xr3">
  <dimension ref="A1:GR1000"/>
  <sheetViews>
    <sheetView topLeftCell="E1" workbookViewId="0">
      <pane ySplit="5" topLeftCell="A74" activePane="bottomLeft" state="frozen"/>
      <selection pane="bottomLeft" activeCell="H82" sqref="H82"/>
    </sheetView>
  </sheetViews>
  <sheetFormatPr defaultRowHeight="15" defaultColWidth="8.8515625" customHeight="1"/>
  <cols>
    <col min="1" max="1" width="4.28125" customWidth="1"/>
    <col min="2" max="2" width="10.00390625" customWidth="1"/>
    <col min="3" max="3" width="12.140625" customWidth="1"/>
    <col min="4" max="4" width="54.28125" customWidth="1"/>
    <col min="5" max="5" width="10.00390625" customWidth="1"/>
    <col min="6" max="6" width="12.140625" customWidth="1"/>
    <col min="7" max="7" width="14.28125" customWidth="1"/>
    <col min="8" max="8" width="17.140625" customWidth="1"/>
    <col min="9" max="9" width="25.7109375" customWidth="1"/>
  </cols>
  <sheetData>
    <row r="1" ht="30" customHeight="1">
      <c r="B1" s="31" t="s">
        <v>376</v>
      </c>
    </row>
    <row r="2" ht="16.5" customHeight="1">
      <c r="B2" s="32" t="s">
        <v>377</v>
      </c>
    </row>
    <row r="3" ht="19.5" customHeight="1">
      <c r="B3" s="49" t="s">
        <v>167</v>
      </c>
      <c r="E3" s="50" t="str">
        <f>Project_Info!C35</f>
        <v>Market</v>
      </c>
      <c r="F3" s="49" t="s">
        <v>378</v>
      </c>
      <c r="I3" s="51">
        <f>H82</f>
        <v>2831469.25</v>
      </c>
    </row>
    <row r="5" ht="26.25" customHeight="1">
      <c r="B5" s="35" t="s">
        <v>379</v>
      </c>
      <c r="C5" s="35" t="s">
        <v>137</v>
      </c>
      <c r="D5" s="35" t="s">
        <v>380</v>
      </c>
      <c r="E5" s="35" t="s">
        <v>60</v>
      </c>
      <c r="F5" s="35" t="s">
        <v>381</v>
      </c>
      <c r="G5" s="35" t="s">
        <v>382</v>
      </c>
      <c r="H5" s="35" t="s">
        <v>383</v>
      </c>
      <c r="I5" s="35" t="s">
        <v>61</v>
      </c>
    </row>
    <row r="6" ht="21" customHeight="1">
      <c r="B6" s="52" t="s">
        <v>384</v>
      </c>
    </row>
    <row r="7" ht="21" customHeight="1">
      <c r="B7" s="53">
        <v>1.1</v>
      </c>
      <c r="C7" s="54" t="s">
        <v>385</v>
      </c>
      <c r="D7" s="55" t="s">
        <v>386</v>
      </c>
      <c r="E7" s="56" t="s">
        <v>76</v>
      </c>
      <c r="F7" s="57">
        <v>222.97</v>
      </c>
      <c r="G7" s="57">
        <v>25</v>
      </c>
      <c r="H7" s="58">
        <f t="shared" si="0" ref="H7:H79">F7*G7</f>
        <v>5574.25</v>
      </c>
      <c r="I7" s="59" t="s">
        <v>387</v>
      </c>
    </row>
    <row r="8" ht="21" customHeight="1">
      <c r="B8" s="60">
        <v>1.2</v>
      </c>
      <c r="C8" s="61" t="s">
        <v>388</v>
      </c>
      <c r="D8" s="62" t="s">
        <v>389</v>
      </c>
      <c r="E8" s="63" t="s">
        <v>225</v>
      </c>
      <c r="F8" s="64">
        <v>42</v>
      </c>
      <c r="G8" s="64">
        <v>180</v>
      </c>
      <c r="H8" s="65">
        <f t="shared" si="0"/>
        <v>7560</v>
      </c>
      <c r="I8" s="66" t="s">
        <v>390</v>
      </c>
    </row>
    <row r="9" ht="21" customHeight="1">
      <c r="B9" s="53">
        <v>1.3</v>
      </c>
      <c r="C9" s="54" t="s">
        <v>391</v>
      </c>
      <c r="D9" s="55" t="s">
        <v>392</v>
      </c>
      <c r="E9" s="56" t="s">
        <v>225</v>
      </c>
      <c r="F9" s="57">
        <v>28</v>
      </c>
      <c r="G9" s="57">
        <v>95</v>
      </c>
      <c r="H9" s="58">
        <f t="shared" si="0"/>
        <v>2660</v>
      </c>
      <c r="I9" s="59" t="s">
        <v>393</v>
      </c>
    </row>
    <row r="10" ht="21" customHeight="1">
      <c r="B10" s="60">
        <v>1.4</v>
      </c>
      <c r="C10" s="61" t="s">
        <v>394</v>
      </c>
      <c r="D10" s="62" t="s">
        <v>395</v>
      </c>
      <c r="E10" s="63" t="s">
        <v>76</v>
      </c>
      <c r="F10" s="64">
        <v>110</v>
      </c>
      <c r="G10" s="64">
        <v>85</v>
      </c>
      <c r="H10" s="65">
        <f t="shared" si="0"/>
        <v>9350</v>
      </c>
      <c r="I10" s="66" t="s">
        <v>396</v>
      </c>
    </row>
    <row r="11" ht="21" customHeight="1">
      <c r="B11" s="53">
        <v>1.5</v>
      </c>
      <c r="C11" s="54" t="s">
        <v>397</v>
      </c>
      <c r="D11" s="55" t="s">
        <v>398</v>
      </c>
      <c r="E11" s="56" t="s">
        <v>225</v>
      </c>
      <c r="F11" s="57">
        <v>14</v>
      </c>
      <c r="G11" s="57">
        <v>850</v>
      </c>
      <c r="H11" s="58">
        <f t="shared" si="0"/>
        <v>11900</v>
      </c>
      <c r="I11" s="59" t="s">
        <v>399</v>
      </c>
    </row>
    <row r="12" ht="15" customHeight="1">
      <c r="B12" s="67" t="s">
        <v>400</v>
      </c>
      <c r="H12" s="68">
        <f>SUM(H7:H11)</f>
        <v>37044.25</v>
      </c>
      <c r="I12" s="69"/>
    </row>
    <row r="13" ht="21" customHeight="1">
      <c r="B13" s="52" t="s">
        <v>401</v>
      </c>
    </row>
    <row r="14" ht="21" customHeight="1">
      <c r="B14" s="53">
        <v>2.1</v>
      </c>
      <c r="C14" s="54" t="s">
        <v>402</v>
      </c>
      <c r="D14" s="55" t="s">
        <v>403</v>
      </c>
      <c r="E14" s="56" t="s">
        <v>225</v>
      </c>
      <c r="F14" s="57">
        <v>4.5</v>
      </c>
      <c r="G14" s="57">
        <v>5800</v>
      </c>
      <c r="H14" s="58">
        <f t="shared" si="0"/>
        <v>26100</v>
      </c>
      <c r="I14" s="59" t="s">
        <v>404</v>
      </c>
    </row>
    <row r="15" ht="21" customHeight="1">
      <c r="B15" s="60">
        <v>2.2</v>
      </c>
      <c r="C15" s="61" t="s">
        <v>405</v>
      </c>
      <c r="D15" s="62" t="s">
        <v>406</v>
      </c>
      <c r="E15" s="63" t="s">
        <v>225</v>
      </c>
      <c r="F15" s="64">
        <v>2.8</v>
      </c>
      <c r="G15" s="64">
        <v>6500</v>
      </c>
      <c r="H15" s="65">
        <f t="shared" si="0"/>
        <v>18200</v>
      </c>
      <c r="I15" s="66"/>
    </row>
    <row r="16" ht="21" customHeight="1">
      <c r="B16" s="53">
        <v>2.3</v>
      </c>
      <c r="C16" s="54" t="s">
        <v>407</v>
      </c>
      <c r="D16" s="55" t="s">
        <v>408</v>
      </c>
      <c r="E16" s="56" t="s">
        <v>225</v>
      </c>
      <c r="F16" s="57">
        <v>8.5</v>
      </c>
      <c r="G16" s="57">
        <v>7800</v>
      </c>
      <c r="H16" s="58">
        <f t="shared" si="0"/>
        <v>66300</v>
      </c>
      <c r="I16" s="59" t="s">
        <v>409</v>
      </c>
    </row>
    <row r="17" ht="21" customHeight="1">
      <c r="B17" s="60">
        <v>2.4</v>
      </c>
      <c r="C17" s="61" t="s">
        <v>410</v>
      </c>
      <c r="D17" s="62" t="s">
        <v>411</v>
      </c>
      <c r="E17" s="63" t="s">
        <v>225</v>
      </c>
      <c r="F17" s="64">
        <v>5.2</v>
      </c>
      <c r="G17" s="64">
        <v>8500</v>
      </c>
      <c r="H17" s="65">
        <f t="shared" si="0"/>
        <v>44200</v>
      </c>
      <c r="I17" s="66" t="s">
        <v>412</v>
      </c>
    </row>
    <row r="18" ht="21" customHeight="1">
      <c r="B18" s="53">
        <v>2.5</v>
      </c>
      <c r="C18" s="54" t="s">
        <v>413</v>
      </c>
      <c r="D18" s="55" t="s">
        <v>414</v>
      </c>
      <c r="E18" s="56" t="s">
        <v>225</v>
      </c>
      <c r="F18" s="57">
        <v>4.8</v>
      </c>
      <c r="G18" s="57">
        <v>8200</v>
      </c>
      <c r="H18" s="58">
        <f t="shared" si="0"/>
        <v>39360</v>
      </c>
      <c r="I18" s="59" t="s">
        <v>415</v>
      </c>
    </row>
    <row r="19" ht="21" customHeight="1">
      <c r="B19" s="60">
        <v>2.6</v>
      </c>
      <c r="C19" s="61" t="s">
        <v>416</v>
      </c>
      <c r="D19" s="62" t="s">
        <v>417</v>
      </c>
      <c r="E19" s="63" t="s">
        <v>225</v>
      </c>
      <c r="F19" s="64">
        <v>27</v>
      </c>
      <c r="G19" s="64">
        <v>8400</v>
      </c>
      <c r="H19" s="65">
        <f t="shared" si="0"/>
        <v>226800</v>
      </c>
      <c r="I19" s="66" t="s">
        <v>418</v>
      </c>
    </row>
    <row r="20" ht="21" customHeight="1">
      <c r="B20" s="53">
        <v>2.7</v>
      </c>
      <c r="C20" s="54" t="s">
        <v>419</v>
      </c>
      <c r="D20" s="55" t="s">
        <v>420</v>
      </c>
      <c r="E20" s="56" t="s">
        <v>225</v>
      </c>
      <c r="F20" s="57">
        <v>2.2</v>
      </c>
      <c r="G20" s="57">
        <v>9200</v>
      </c>
      <c r="H20" s="58">
        <f t="shared" si="0"/>
        <v>20240</v>
      </c>
      <c r="I20" s="59"/>
    </row>
    <row r="21" ht="15" customHeight="1">
      <c r="B21" s="67" t="s">
        <v>421</v>
      </c>
      <c r="H21" s="68">
        <f t="shared" si="1" ref="H21:H80">SUM(H14:H20)</f>
        <v>441200</v>
      </c>
      <c r="I21" s="69"/>
    </row>
    <row r="22" ht="21" customHeight="1">
      <c r="B22" s="52" t="s">
        <v>422</v>
      </c>
    </row>
    <row r="23" ht="21" customHeight="1">
      <c r="B23" s="53">
        <v>3.1</v>
      </c>
      <c r="C23" s="54" t="s">
        <v>423</v>
      </c>
      <c r="D23" s="55" t="s">
        <v>424</v>
      </c>
      <c r="E23" s="56" t="s">
        <v>76</v>
      </c>
      <c r="F23" s="57">
        <v>42</v>
      </c>
      <c r="G23" s="57">
        <v>280</v>
      </c>
      <c r="H23" s="58">
        <f t="shared" si="0"/>
        <v>11760</v>
      </c>
      <c r="I23" s="59" t="s">
        <v>425</v>
      </c>
    </row>
    <row r="24" ht="21" customHeight="1">
      <c r="B24" s="60">
        <v>3.2</v>
      </c>
      <c r="C24" s="61" t="s">
        <v>426</v>
      </c>
      <c r="D24" s="62" t="s">
        <v>427</v>
      </c>
      <c r="E24" s="63" t="s">
        <v>76</v>
      </c>
      <c r="F24" s="64">
        <v>68</v>
      </c>
      <c r="G24" s="64">
        <v>350</v>
      </c>
      <c r="H24" s="65">
        <f t="shared" si="0"/>
        <v>23800</v>
      </c>
      <c r="I24" s="66"/>
    </row>
    <row r="25" ht="21" customHeight="1">
      <c r="B25" s="53">
        <v>3.3</v>
      </c>
      <c r="C25" s="54" t="s">
        <v>428</v>
      </c>
      <c r="D25" s="55" t="s">
        <v>429</v>
      </c>
      <c r="E25" s="56" t="s">
        <v>76</v>
      </c>
      <c r="F25" s="57">
        <v>85</v>
      </c>
      <c r="G25" s="57">
        <v>380</v>
      </c>
      <c r="H25" s="58">
        <f t="shared" si="0"/>
        <v>32300</v>
      </c>
      <c r="I25" s="59"/>
    </row>
    <row r="26" ht="21" customHeight="1">
      <c r="B26" s="60">
        <v>3.4</v>
      </c>
      <c r="C26" s="61" t="s">
        <v>430</v>
      </c>
      <c r="D26" s="62" t="s">
        <v>431</v>
      </c>
      <c r="E26" s="63" t="s">
        <v>76</v>
      </c>
      <c r="F26" s="64">
        <v>180</v>
      </c>
      <c r="G26" s="64">
        <v>320</v>
      </c>
      <c r="H26" s="65">
        <f t="shared" si="0"/>
        <v>57600</v>
      </c>
      <c r="I26" s="66" t="s">
        <v>432</v>
      </c>
    </row>
    <row r="27" ht="21" customHeight="1">
      <c r="B27" s="53">
        <v>3.5</v>
      </c>
      <c r="C27" s="54" t="s">
        <v>433</v>
      </c>
      <c r="D27" s="55" t="s">
        <v>434</v>
      </c>
      <c r="E27" s="56" t="s">
        <v>76</v>
      </c>
      <c r="F27" s="57">
        <v>22</v>
      </c>
      <c r="G27" s="57">
        <v>420</v>
      </c>
      <c r="H27" s="58">
        <f t="shared" si="0"/>
        <v>9240</v>
      </c>
      <c r="I27" s="59"/>
    </row>
    <row r="28" ht="21" customHeight="1">
      <c r="B28" s="60">
        <v>3.6</v>
      </c>
      <c r="C28" s="61" t="s">
        <v>435</v>
      </c>
      <c r="D28" s="62" t="s">
        <v>436</v>
      </c>
      <c r="E28" s="63" t="s">
        <v>76</v>
      </c>
      <c r="F28" s="64">
        <v>240</v>
      </c>
      <c r="G28" s="64">
        <v>85</v>
      </c>
      <c r="H28" s="65">
        <f t="shared" si="0"/>
        <v>20400</v>
      </c>
      <c r="I28" s="66" t="s">
        <v>437</v>
      </c>
    </row>
    <row r="29" ht="15" customHeight="1">
      <c r="B29" s="67" t="s">
        <v>438</v>
      </c>
      <c r="H29" s="68">
        <f t="shared" si="2" ref="H29:H71">SUM(H23:H28)</f>
        <v>155100</v>
      </c>
      <c r="I29" s="69"/>
    </row>
    <row r="30" ht="21" customHeight="1">
      <c r="B30" s="52" t="s">
        <v>439</v>
      </c>
    </row>
    <row r="31" ht="21" customHeight="1">
      <c r="B31" s="53">
        <v>4.1</v>
      </c>
      <c r="C31" s="54" t="s">
        <v>440</v>
      </c>
      <c r="D31" s="55" t="s">
        <v>441</v>
      </c>
      <c r="E31" s="56" t="s">
        <v>202</v>
      </c>
      <c r="F31" s="57">
        <v>2.8</v>
      </c>
      <c r="G31" s="57">
        <v>82000</v>
      </c>
      <c r="H31" s="58">
        <f t="shared" si="0"/>
        <v>229600</v>
      </c>
      <c r="I31" s="59" t="s">
        <v>442</v>
      </c>
    </row>
    <row r="32" ht="21" customHeight="1">
      <c r="B32" s="60">
        <v>4.2</v>
      </c>
      <c r="C32" s="61" t="s">
        <v>443</v>
      </c>
      <c r="D32" s="62" t="s">
        <v>444</v>
      </c>
      <c r="E32" s="63" t="s">
        <v>202</v>
      </c>
      <c r="F32" s="64">
        <v>2.2</v>
      </c>
      <c r="G32" s="64">
        <v>81500</v>
      </c>
      <c r="H32" s="65">
        <f t="shared" si="0"/>
        <v>179300</v>
      </c>
      <c r="I32" s="66" t="s">
        <v>445</v>
      </c>
    </row>
    <row r="33" ht="21" customHeight="1">
      <c r="B33" s="53">
        <v>4.3</v>
      </c>
      <c r="C33" s="54" t="s">
        <v>446</v>
      </c>
      <c r="D33" s="55" t="s">
        <v>447</v>
      </c>
      <c r="E33" s="56" t="s">
        <v>219</v>
      </c>
      <c r="F33" s="57">
        <v>85</v>
      </c>
      <c r="G33" s="57">
        <v>88</v>
      </c>
      <c r="H33" s="58">
        <f t="shared" si="0"/>
        <v>7480</v>
      </c>
      <c r="I33" s="59"/>
    </row>
    <row r="34" ht="15" customHeight="1">
      <c r="B34" s="67" t="s">
        <v>448</v>
      </c>
      <c r="H34" s="68">
        <f>SUM(H31:H33)</f>
        <v>416380</v>
      </c>
      <c r="I34" s="69"/>
    </row>
    <row r="35" ht="21" customHeight="1">
      <c r="B35" s="52" t="s">
        <v>449</v>
      </c>
    </row>
    <row r="36" ht="21" customHeight="1">
      <c r="B36" s="53">
        <v>5.1</v>
      </c>
      <c r="C36" s="54" t="s">
        <v>362</v>
      </c>
      <c r="D36" s="55" t="s">
        <v>450</v>
      </c>
      <c r="E36" s="56" t="s">
        <v>225</v>
      </c>
      <c r="F36" s="57">
        <v>8</v>
      </c>
      <c r="G36" s="57">
        <v>6200</v>
      </c>
      <c r="H36" s="58">
        <f t="shared" si="0"/>
        <v>49600</v>
      </c>
      <c r="I36" s="59" t="s">
        <v>451</v>
      </c>
    </row>
    <row r="37" ht="21" customHeight="1">
      <c r="B37" s="60">
        <v>5.2</v>
      </c>
      <c r="C37" s="61" t="s">
        <v>366</v>
      </c>
      <c r="D37" s="62" t="s">
        <v>452</v>
      </c>
      <c r="E37" s="63" t="s">
        <v>225</v>
      </c>
      <c r="F37" s="64">
        <v>24</v>
      </c>
      <c r="G37" s="64">
        <v>6800</v>
      </c>
      <c r="H37" s="65">
        <f t="shared" si="0"/>
        <v>163200</v>
      </c>
      <c r="I37" s="66" t="s">
        <v>263</v>
      </c>
    </row>
    <row r="38" ht="21" customHeight="1">
      <c r="B38" s="53">
        <v>5.3</v>
      </c>
      <c r="C38" s="54" t="s">
        <v>370</v>
      </c>
      <c r="D38" s="55" t="s">
        <v>453</v>
      </c>
      <c r="E38" s="56" t="s">
        <v>76</v>
      </c>
      <c r="F38" s="57">
        <v>95</v>
      </c>
      <c r="G38" s="57">
        <v>850</v>
      </c>
      <c r="H38" s="58">
        <f t="shared" si="0"/>
        <v>80750</v>
      </c>
      <c r="I38" s="59" t="s">
        <v>454</v>
      </c>
    </row>
    <row r="39" ht="21" customHeight="1">
      <c r="B39" s="60">
        <v>5.4</v>
      </c>
      <c r="C39" s="61" t="s">
        <v>455</v>
      </c>
      <c r="D39" s="62" t="s">
        <v>456</v>
      </c>
      <c r="E39" s="63" t="s">
        <v>225</v>
      </c>
      <c r="F39" s="64">
        <v>6</v>
      </c>
      <c r="G39" s="64">
        <v>5800</v>
      </c>
      <c r="H39" s="65">
        <f t="shared" si="0"/>
        <v>34800</v>
      </c>
      <c r="I39" s="66" t="s">
        <v>457</v>
      </c>
    </row>
    <row r="40" ht="15" customHeight="1">
      <c r="B40" s="67" t="s">
        <v>458</v>
      </c>
      <c r="H40" s="68">
        <f t="shared" si="3" ref="H40:H63">SUM(H36:H39)</f>
        <v>328350</v>
      </c>
      <c r="I40" s="69"/>
    </row>
    <row r="41" ht="21" customHeight="1">
      <c r="B41" s="52" t="s">
        <v>459</v>
      </c>
    </row>
    <row r="42" ht="21" customHeight="1">
      <c r="B42" s="53">
        <v>6.1</v>
      </c>
      <c r="C42" s="54" t="s">
        <v>460</v>
      </c>
      <c r="D42" s="55" t="s">
        <v>461</v>
      </c>
      <c r="E42" s="56" t="s">
        <v>76</v>
      </c>
      <c r="F42" s="57">
        <v>380</v>
      </c>
      <c r="G42" s="57">
        <v>240</v>
      </c>
      <c r="H42" s="58">
        <f t="shared" si="0"/>
        <v>91200</v>
      </c>
      <c r="I42" s="59" t="s">
        <v>319</v>
      </c>
    </row>
    <row r="43" ht="21" customHeight="1">
      <c r="B43" s="60">
        <v>6.2</v>
      </c>
      <c r="C43" s="61" t="s">
        <v>462</v>
      </c>
      <c r="D43" s="62" t="s">
        <v>463</v>
      </c>
      <c r="E43" s="63" t="s">
        <v>76</v>
      </c>
      <c r="F43" s="64">
        <v>220</v>
      </c>
      <c r="G43" s="64">
        <v>320</v>
      </c>
      <c r="H43" s="65">
        <f t="shared" si="0"/>
        <v>70400</v>
      </c>
      <c r="I43" s="66" t="s">
        <v>464</v>
      </c>
    </row>
    <row r="44" ht="21" customHeight="1">
      <c r="B44" s="53">
        <v>6.3</v>
      </c>
      <c r="C44" s="54" t="s">
        <v>465</v>
      </c>
      <c r="D44" s="55" t="s">
        <v>466</v>
      </c>
      <c r="E44" s="56" t="s">
        <v>76</v>
      </c>
      <c r="F44" s="57">
        <v>170</v>
      </c>
      <c r="G44" s="57">
        <v>190</v>
      </c>
      <c r="H44" s="58">
        <f t="shared" si="0"/>
        <v>32300</v>
      </c>
      <c r="I44" s="59" t="s">
        <v>467</v>
      </c>
    </row>
    <row r="45" ht="21" customHeight="1">
      <c r="B45" s="60">
        <v>6.4</v>
      </c>
      <c r="C45" s="61" t="s">
        <v>468</v>
      </c>
      <c r="D45" s="62" t="s">
        <v>469</v>
      </c>
      <c r="E45" s="63" t="s">
        <v>76</v>
      </c>
      <c r="F45" s="64">
        <v>380</v>
      </c>
      <c r="G45" s="64">
        <v>85</v>
      </c>
      <c r="H45" s="65">
        <f t="shared" si="0"/>
        <v>32300</v>
      </c>
      <c r="I45" s="66"/>
    </row>
    <row r="46" ht="21" customHeight="1">
      <c r="B46" s="53">
        <v>6.5</v>
      </c>
      <c r="C46" s="54" t="s">
        <v>470</v>
      </c>
      <c r="D46" s="55" t="s">
        <v>471</v>
      </c>
      <c r="E46" s="56" t="s">
        <v>76</v>
      </c>
      <c r="F46" s="57">
        <v>550</v>
      </c>
      <c r="G46" s="57">
        <v>145</v>
      </c>
      <c r="H46" s="58">
        <f t="shared" si="0"/>
        <v>79750</v>
      </c>
      <c r="I46" s="59" t="s">
        <v>319</v>
      </c>
    </row>
    <row r="47" ht="21" customHeight="1">
      <c r="B47" s="60">
        <v>6.6</v>
      </c>
      <c r="C47" s="61" t="s">
        <v>472</v>
      </c>
      <c r="D47" s="62" t="s">
        <v>473</v>
      </c>
      <c r="E47" s="63" t="s">
        <v>76</v>
      </c>
      <c r="F47" s="64">
        <v>220</v>
      </c>
      <c r="G47" s="64">
        <v>185</v>
      </c>
      <c r="H47" s="65">
        <f t="shared" si="0"/>
        <v>40700</v>
      </c>
      <c r="I47" s="66" t="s">
        <v>464</v>
      </c>
    </row>
    <row r="48" ht="21" customHeight="1">
      <c r="B48" s="53">
        <v>6.7</v>
      </c>
      <c r="C48" s="54" t="s">
        <v>474</v>
      </c>
      <c r="D48" s="55" t="s">
        <v>475</v>
      </c>
      <c r="E48" s="56" t="s">
        <v>76</v>
      </c>
      <c r="F48" s="57">
        <v>85</v>
      </c>
      <c r="G48" s="57">
        <v>210</v>
      </c>
      <c r="H48" s="58">
        <f t="shared" si="0"/>
        <v>17850</v>
      </c>
      <c r="I48" s="59" t="s">
        <v>476</v>
      </c>
    </row>
    <row r="49" ht="15" customHeight="1">
      <c r="B49" s="67" t="s">
        <v>477</v>
      </c>
      <c r="H49" s="68">
        <f t="shared" si="1"/>
        <v>364500</v>
      </c>
      <c r="I49" s="69"/>
    </row>
    <row r="50" ht="21" customHeight="1">
      <c r="B50" s="52" t="s">
        <v>478</v>
      </c>
    </row>
    <row r="51" ht="21" customHeight="1">
      <c r="B51" s="53">
        <v>7.1</v>
      </c>
      <c r="C51" s="54" t="s">
        <v>479</v>
      </c>
      <c r="D51" s="55" t="s">
        <v>480</v>
      </c>
      <c r="E51" s="56" t="s">
        <v>76</v>
      </c>
      <c r="F51" s="57">
        <v>140</v>
      </c>
      <c r="G51" s="57">
        <v>1250</v>
      </c>
      <c r="H51" s="58">
        <f t="shared" si="0"/>
        <v>175000</v>
      </c>
      <c r="I51" s="59" t="s">
        <v>481</v>
      </c>
    </row>
    <row r="52" ht="21" customHeight="1">
      <c r="B52" s="60">
        <v>7.2</v>
      </c>
      <c r="C52" s="61" t="s">
        <v>482</v>
      </c>
      <c r="D52" s="62" t="s">
        <v>483</v>
      </c>
      <c r="E52" s="63" t="s">
        <v>76</v>
      </c>
      <c r="F52" s="64">
        <v>18</v>
      </c>
      <c r="G52" s="64">
        <v>850</v>
      </c>
      <c r="H52" s="65">
        <f t="shared" si="0"/>
        <v>15300</v>
      </c>
      <c r="I52" s="66" t="s">
        <v>484</v>
      </c>
    </row>
    <row r="53" ht="21" customHeight="1">
      <c r="B53" s="53">
        <v>7.3</v>
      </c>
      <c r="C53" s="54" t="s">
        <v>485</v>
      </c>
      <c r="D53" s="55" t="s">
        <v>486</v>
      </c>
      <c r="E53" s="56" t="s">
        <v>76</v>
      </c>
      <c r="F53" s="57">
        <v>45</v>
      </c>
      <c r="G53" s="57">
        <v>950</v>
      </c>
      <c r="H53" s="58">
        <f t="shared" si="0"/>
        <v>42750</v>
      </c>
      <c r="I53" s="59" t="s">
        <v>487</v>
      </c>
    </row>
    <row r="54" ht="21" customHeight="1">
      <c r="B54" s="60">
        <v>7.4</v>
      </c>
      <c r="C54" s="61" t="s">
        <v>488</v>
      </c>
      <c r="D54" s="62" t="s">
        <v>489</v>
      </c>
      <c r="E54" s="63" t="s">
        <v>76</v>
      </c>
      <c r="F54" s="64">
        <v>12</v>
      </c>
      <c r="G54" s="64">
        <v>1100</v>
      </c>
      <c r="H54" s="65">
        <f t="shared" si="0"/>
        <v>13200</v>
      </c>
      <c r="I54" s="66" t="s">
        <v>490</v>
      </c>
    </row>
    <row r="55" ht="21" customHeight="1">
      <c r="B55" s="53">
        <v>7.5</v>
      </c>
      <c r="C55" s="54" t="s">
        <v>491</v>
      </c>
      <c r="D55" s="55" t="s">
        <v>492</v>
      </c>
      <c r="E55" s="56" t="s">
        <v>76</v>
      </c>
      <c r="F55" s="57">
        <v>4.5</v>
      </c>
      <c r="G55" s="57">
        <v>3200</v>
      </c>
      <c r="H55" s="58">
        <f t="shared" si="0"/>
        <v>14400</v>
      </c>
      <c r="I55" s="59" t="s">
        <v>493</v>
      </c>
    </row>
    <row r="56" ht="21" customHeight="1">
      <c r="B56" s="60">
        <v>7.6</v>
      </c>
      <c r="C56" s="61" t="s">
        <v>494</v>
      </c>
      <c r="D56" s="62" t="s">
        <v>495</v>
      </c>
      <c r="E56" s="63" t="s">
        <v>496</v>
      </c>
      <c r="F56" s="64">
        <v>85</v>
      </c>
      <c r="G56" s="64">
        <v>220</v>
      </c>
      <c r="H56" s="65">
        <f t="shared" si="0"/>
        <v>18700</v>
      </c>
      <c r="I56" s="66"/>
    </row>
    <row r="57" ht="15" customHeight="1">
      <c r="B57" s="67" t="s">
        <v>497</v>
      </c>
      <c r="H57" s="68">
        <f t="shared" si="2"/>
        <v>279350</v>
      </c>
      <c r="I57" s="69"/>
    </row>
    <row r="58" ht="21" customHeight="1">
      <c r="B58" s="52" t="s">
        <v>498</v>
      </c>
    </row>
    <row r="59" ht="21" customHeight="1">
      <c r="B59" s="53">
        <v>8.1</v>
      </c>
      <c r="C59" s="54" t="s">
        <v>354</v>
      </c>
      <c r="D59" s="55" t="s">
        <v>499</v>
      </c>
      <c r="E59" s="56" t="s">
        <v>76</v>
      </c>
      <c r="F59" s="57">
        <v>92</v>
      </c>
      <c r="G59" s="57">
        <v>520</v>
      </c>
      <c r="H59" s="58">
        <f t="shared" si="0"/>
        <v>47840</v>
      </c>
      <c r="I59" s="59" t="s">
        <v>361</v>
      </c>
    </row>
    <row r="60" ht="21" customHeight="1">
      <c r="B60" s="60">
        <v>8.2</v>
      </c>
      <c r="C60" s="61" t="s">
        <v>358</v>
      </c>
      <c r="D60" s="62" t="s">
        <v>500</v>
      </c>
      <c r="E60" s="63" t="s">
        <v>76</v>
      </c>
      <c r="F60" s="64">
        <v>92</v>
      </c>
      <c r="G60" s="64">
        <v>520</v>
      </c>
      <c r="H60" s="65">
        <f t="shared" si="0"/>
        <v>47840</v>
      </c>
      <c r="I60" s="66" t="s">
        <v>501</v>
      </c>
    </row>
    <row r="61" ht="21" customHeight="1">
      <c r="B61" s="53">
        <v>8.3</v>
      </c>
      <c r="C61" s="54" t="s">
        <v>502</v>
      </c>
      <c r="D61" s="55" t="s">
        <v>503</v>
      </c>
      <c r="E61" s="56" t="s">
        <v>76</v>
      </c>
      <c r="F61" s="57">
        <v>12</v>
      </c>
      <c r="G61" s="57">
        <v>480</v>
      </c>
      <c r="H61" s="58">
        <f t="shared" si="0"/>
        <v>5760</v>
      </c>
      <c r="I61" s="59" t="s">
        <v>504</v>
      </c>
    </row>
    <row r="62" ht="21" customHeight="1">
      <c r="B62" s="60">
        <v>8.4</v>
      </c>
      <c r="C62" s="61" t="s">
        <v>505</v>
      </c>
      <c r="D62" s="62" t="s">
        <v>506</v>
      </c>
      <c r="E62" s="63" t="s">
        <v>496</v>
      </c>
      <c r="F62" s="64">
        <v>42</v>
      </c>
      <c r="G62" s="64">
        <v>1850</v>
      </c>
      <c r="H62" s="65">
        <f t="shared" si="0"/>
        <v>77700</v>
      </c>
      <c r="I62" s="66" t="s">
        <v>507</v>
      </c>
    </row>
    <row r="63" ht="15" customHeight="1">
      <c r="B63" s="67" t="s">
        <v>508</v>
      </c>
      <c r="H63" s="68">
        <f t="shared" si="3"/>
        <v>179140</v>
      </c>
      <c r="I63" s="69"/>
    </row>
    <row r="64" ht="21" customHeight="1">
      <c r="B64" s="52" t="s">
        <v>509</v>
      </c>
    </row>
    <row r="65" ht="21" customHeight="1">
      <c r="B65" s="53">
        <v>9.1</v>
      </c>
      <c r="C65" s="54" t="s">
        <v>294</v>
      </c>
      <c r="D65" s="55" t="s">
        <v>510</v>
      </c>
      <c r="E65" s="56" t="s">
        <v>76</v>
      </c>
      <c r="F65" s="57">
        <v>2.1</v>
      </c>
      <c r="G65" s="57">
        <v>12500</v>
      </c>
      <c r="H65" s="58">
        <f t="shared" si="0"/>
        <v>26250</v>
      </c>
      <c r="I65" s="59" t="s">
        <v>511</v>
      </c>
    </row>
    <row r="66" ht="21" customHeight="1">
      <c r="B66" s="60">
        <v>9.2</v>
      </c>
      <c r="C66" s="61" t="s">
        <v>298</v>
      </c>
      <c r="D66" s="62" t="s">
        <v>512</v>
      </c>
      <c r="E66" s="63" t="s">
        <v>76</v>
      </c>
      <c r="F66" s="64">
        <v>12.5</v>
      </c>
      <c r="G66" s="64">
        <v>3500</v>
      </c>
      <c r="H66" s="65">
        <f t="shared" si="0"/>
        <v>43750</v>
      </c>
      <c r="I66" s="66" t="s">
        <v>513</v>
      </c>
    </row>
    <row r="67" ht="21" customHeight="1">
      <c r="B67" s="53">
        <v>9.3</v>
      </c>
      <c r="C67" s="54" t="s">
        <v>514</v>
      </c>
      <c r="D67" s="55" t="s">
        <v>515</v>
      </c>
      <c r="E67" s="56" t="s">
        <v>76</v>
      </c>
      <c r="F67" s="57">
        <v>3.2</v>
      </c>
      <c r="G67" s="57">
        <v>2400</v>
      </c>
      <c r="H67" s="58">
        <f t="shared" si="0"/>
        <v>7680</v>
      </c>
      <c r="I67" s="59" t="s">
        <v>516</v>
      </c>
    </row>
    <row r="68" ht="21" customHeight="1">
      <c r="B68" s="60">
        <v>9.4</v>
      </c>
      <c r="C68" s="61" t="s">
        <v>302</v>
      </c>
      <c r="D68" s="62" t="s">
        <v>517</v>
      </c>
      <c r="E68" s="63" t="s">
        <v>76</v>
      </c>
      <c r="F68" s="64">
        <v>18</v>
      </c>
      <c r="G68" s="64">
        <v>4200</v>
      </c>
      <c r="H68" s="65">
        <f t="shared" si="0"/>
        <v>75600</v>
      </c>
      <c r="I68" s="66" t="s">
        <v>518</v>
      </c>
    </row>
    <row r="69" ht="21" customHeight="1">
      <c r="B69" s="53">
        <v>9.5</v>
      </c>
      <c r="C69" s="54" t="s">
        <v>306</v>
      </c>
      <c r="D69" s="55" t="s">
        <v>519</v>
      </c>
      <c r="E69" s="56" t="s">
        <v>76</v>
      </c>
      <c r="F69" s="57">
        <v>18</v>
      </c>
      <c r="G69" s="57">
        <v>850</v>
      </c>
      <c r="H69" s="58">
        <f t="shared" si="0"/>
        <v>15300</v>
      </c>
      <c r="I69" s="59" t="s">
        <v>520</v>
      </c>
    </row>
    <row r="70" ht="21" customHeight="1">
      <c r="B70" s="60">
        <v>9.6</v>
      </c>
      <c r="C70" s="61" t="s">
        <v>521</v>
      </c>
      <c r="D70" s="62" t="s">
        <v>522</v>
      </c>
      <c r="E70" s="63" t="s">
        <v>496</v>
      </c>
      <c r="F70" s="64">
        <v>8.5</v>
      </c>
      <c r="G70" s="64">
        <v>1450</v>
      </c>
      <c r="H70" s="65">
        <f t="shared" si="0"/>
        <v>12325</v>
      </c>
      <c r="I70" s="66"/>
    </row>
    <row r="71" ht="15" customHeight="1">
      <c r="B71" s="67" t="s">
        <v>523</v>
      </c>
      <c r="H71" s="68">
        <f t="shared" si="2"/>
        <v>180905</v>
      </c>
      <c r="I71" s="69"/>
    </row>
    <row r="72" ht="21" customHeight="1">
      <c r="B72" s="52" t="s">
        <v>524</v>
      </c>
    </row>
    <row r="73" ht="21" customHeight="1">
      <c r="B73" s="53">
        <v>10.1</v>
      </c>
      <c r="C73" s="54" t="s">
        <v>525</v>
      </c>
      <c r="D73" s="55" t="s">
        <v>526</v>
      </c>
      <c r="E73" s="56" t="s">
        <v>527</v>
      </c>
      <c r="F73" s="57">
        <v>1</v>
      </c>
      <c r="G73" s="57">
        <v>85000</v>
      </c>
      <c r="H73" s="58">
        <f t="shared" si="0"/>
        <v>85000</v>
      </c>
      <c r="I73" s="59" t="s">
        <v>528</v>
      </c>
    </row>
    <row r="74" ht="21" customHeight="1">
      <c r="B74" s="60">
        <v>10.2</v>
      </c>
      <c r="C74" s="61" t="s">
        <v>529</v>
      </c>
      <c r="D74" s="62" t="s">
        <v>530</v>
      </c>
      <c r="E74" s="63" t="s">
        <v>527</v>
      </c>
      <c r="F74" s="64">
        <v>1</v>
      </c>
      <c r="G74" s="64">
        <v>125000</v>
      </c>
      <c r="H74" s="65">
        <f t="shared" si="0"/>
        <v>125000</v>
      </c>
      <c r="I74" s="66" t="s">
        <v>531</v>
      </c>
    </row>
    <row r="75" ht="21" customHeight="1">
      <c r="B75" s="53">
        <v>10.3</v>
      </c>
      <c r="C75" s="54" t="s">
        <v>532</v>
      </c>
      <c r="D75" s="55" t="s">
        <v>533</v>
      </c>
      <c r="E75" s="56" t="s">
        <v>527</v>
      </c>
      <c r="F75" s="57">
        <v>1</v>
      </c>
      <c r="G75" s="57">
        <v>12500</v>
      </c>
      <c r="H75" s="58">
        <f t="shared" si="0"/>
        <v>12500</v>
      </c>
      <c r="I75" s="59"/>
    </row>
    <row r="76" ht="21" customHeight="1">
      <c r="B76" s="60">
        <v>10.4</v>
      </c>
      <c r="C76" s="61" t="s">
        <v>534</v>
      </c>
      <c r="D76" s="62" t="s">
        <v>535</v>
      </c>
      <c r="E76" s="63" t="s">
        <v>527</v>
      </c>
      <c r="F76" s="64">
        <v>1</v>
      </c>
      <c r="G76" s="64">
        <v>42000</v>
      </c>
      <c r="H76" s="65">
        <f t="shared" si="0"/>
        <v>42000</v>
      </c>
      <c r="I76" s="66" t="s">
        <v>536</v>
      </c>
    </row>
    <row r="77" ht="21" customHeight="1">
      <c r="B77" s="53">
        <v>10.5</v>
      </c>
      <c r="C77" s="54" t="s">
        <v>537</v>
      </c>
      <c r="D77" s="55" t="s">
        <v>538</v>
      </c>
      <c r="E77" s="56" t="s">
        <v>527</v>
      </c>
      <c r="F77" s="57">
        <v>1</v>
      </c>
      <c r="G77" s="57">
        <v>38000</v>
      </c>
      <c r="H77" s="58">
        <f t="shared" si="0"/>
        <v>38000</v>
      </c>
      <c r="I77" s="59" t="s">
        <v>539</v>
      </c>
    </row>
    <row r="78" ht="21" customHeight="1">
      <c r="B78" s="60">
        <v>10.6</v>
      </c>
      <c r="C78" s="61" t="s">
        <v>540</v>
      </c>
      <c r="D78" s="62" t="s">
        <v>541</v>
      </c>
      <c r="E78" s="63" t="s">
        <v>496</v>
      </c>
      <c r="F78" s="64">
        <v>60</v>
      </c>
      <c r="G78" s="64">
        <v>2200</v>
      </c>
      <c r="H78" s="65">
        <f t="shared" si="0"/>
        <v>132000</v>
      </c>
      <c r="I78" s="66"/>
    </row>
    <row r="79" ht="21" customHeight="1">
      <c r="B79" s="53">
        <v>10.7</v>
      </c>
      <c r="C79" s="54" t="s">
        <v>542</v>
      </c>
      <c r="D79" s="55" t="s">
        <v>543</v>
      </c>
      <c r="E79" s="56" t="s">
        <v>527</v>
      </c>
      <c r="F79" s="57">
        <v>1</v>
      </c>
      <c r="G79" s="57">
        <v>15000</v>
      </c>
      <c r="H79" s="58">
        <f t="shared" si="0"/>
        <v>15000</v>
      </c>
      <c r="I79" s="59"/>
    </row>
    <row r="80" ht="15" customHeight="1">
      <c r="B80" s="67" t="s">
        <v>544</v>
      </c>
      <c r="H80" s="68">
        <f t="shared" si="1"/>
        <v>449500</v>
      </c>
      <c r="I80" s="69"/>
    </row>
    <row r="82" ht="26.25" customHeight="1">
      <c r="B82" s="70" t="s">
        <v>545</v>
      </c>
      <c r="H82" s="71">
        <f>H12+H21+H29+H34+H40+H49+H57+H63+H71+H80</f>
        <v>2831469.25</v>
      </c>
      <c r="I82" s="72"/>
    </row>
  </sheetData>
  <mergeCells>
    <mergeCell ref="B1:I1"/>
    <mergeCell ref="B2:I2"/>
    <mergeCell ref="B3:D3"/>
    <mergeCell ref="F3:H3"/>
    <mergeCell ref="B6:I6"/>
    <mergeCell ref="B12:G12"/>
    <mergeCell ref="B13:I13"/>
    <mergeCell ref="B21:G21"/>
    <mergeCell ref="B22:I22"/>
    <mergeCell ref="B29:G29"/>
    <mergeCell ref="B30:I30"/>
    <mergeCell ref="B34:G34"/>
    <mergeCell ref="B35:I35"/>
    <mergeCell ref="B40:G40"/>
    <mergeCell ref="B41:I41"/>
    <mergeCell ref="B49:G49"/>
    <mergeCell ref="B50:I50"/>
    <mergeCell ref="B57:G57"/>
    <mergeCell ref="B58:I58"/>
    <mergeCell ref="B63:G63"/>
    <mergeCell ref="B64:I64"/>
    <mergeCell ref="B71:G71"/>
    <mergeCell ref="B72:I72"/>
    <mergeCell ref="B80:G80"/>
    <mergeCell ref="B82:G82"/>
  </mergeCells>
  <printOptions/>
  <pageMargins left="0.7" right="0.7" top="0.75" bottom="0.75" header="0.3" footer="0.3"/>
  <pageSetup paperSize="1" orientation="portrait"/>
  <headerFooter>
    <oddHeader>&amp;L&amp;C&amp;R</oddHeader>
    <oddFooter>&amp;L&amp;C&amp;R</oddFooter>
  </headerFooter>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5FFC4307-2117-9A75-B078-4AA6170291A8}" mc:Ignorable="x14ac xr xr2 xr3">
  <dimension ref="A1:GR1000"/>
  <sheetViews>
    <sheetView topLeftCell="A1" workbookViewId="0">
      <pane ySplit="5" topLeftCell="A6" activePane="bottomLeft" state="frozen"/>
      <selection pane="bottomLeft" activeCell="A1" sqref="A1"/>
    </sheetView>
  </sheetViews>
  <sheetFormatPr defaultRowHeight="15" defaultColWidth="8.8515625" customHeight="1"/>
  <cols>
    <col min="1" max="1" width="4.28125" customWidth="1"/>
    <col min="2" max="2" width="7.8515625" customWidth="1"/>
    <col min="3" max="3" width="13.57421875" customWidth="1"/>
    <col min="4" max="4" width="32.8515625" customWidth="1"/>
    <col min="5" max="5" width="8.57421875" customWidth="1"/>
    <col min="6" max="6" width="12.140625" customWidth="1"/>
    <col min="7" max="7" width="12.8515625" customWidth="1"/>
    <col min="8" max="8" width="13.57421875" customWidth="1"/>
    <col min="9" max="9" width="14.28125" customWidth="1"/>
    <col min="10" max="10" width="8.57421875" customWidth="1"/>
    <col min="11" max="11" width="22.8515625" customWidth="1"/>
  </cols>
  <sheetData>
    <row r="1" ht="30" customHeight="1">
      <c r="B1" s="31" t="s">
        <v>546</v>
      </c>
    </row>
    <row r="2" ht="16.5" customHeight="1">
      <c r="B2" s="32" t="s">
        <v>547</v>
      </c>
    </row>
    <row r="3" ht="16.5" customHeight="1">
      <c r="B3" s="73" t="s">
        <v>548</v>
      </c>
    </row>
    <row r="5" ht="26.25" customHeight="1">
      <c r="B5" s="35" t="s">
        <v>169</v>
      </c>
      <c r="C5" s="35" t="s">
        <v>549</v>
      </c>
      <c r="D5" s="35" t="s">
        <v>550</v>
      </c>
      <c r="E5" s="35" t="s">
        <v>82</v>
      </c>
      <c r="F5" s="35" t="s">
        <v>551</v>
      </c>
      <c r="G5" s="35" t="s">
        <v>552</v>
      </c>
      <c r="H5" s="35" t="s">
        <v>553</v>
      </c>
      <c r="I5" s="35" t="s">
        <v>381</v>
      </c>
      <c r="J5" s="35" t="s">
        <v>60</v>
      </c>
      <c r="K5" s="35" t="s">
        <v>554</v>
      </c>
    </row>
    <row r="6" ht="18.75" customHeight="1">
      <c r="B6" s="74" t="s">
        <v>555</v>
      </c>
    </row>
    <row r="7" ht="21" customHeight="1">
      <c r="B7" s="75">
        <v>1</v>
      </c>
      <c r="C7" s="76" t="s">
        <v>385</v>
      </c>
      <c r="D7" s="77" t="s">
        <v>556</v>
      </c>
      <c r="E7" s="78">
        <v>1</v>
      </c>
      <c r="F7" s="79">
        <v>18.29</v>
      </c>
      <c r="G7" s="79">
        <v>12.19</v>
      </c>
      <c r="H7" s="79"/>
      <c r="I7" s="80">
        <f t="shared" si="1" ref="I7:I44">E7*F7*G7</f>
        <v>222.9551</v>
      </c>
      <c r="J7" s="75" t="s">
        <v>76</v>
      </c>
      <c r="K7" s="81" t="s">
        <v>557</v>
      </c>
    </row>
    <row r="8" ht="21" customHeight="1">
      <c r="B8" s="82">
        <v>2</v>
      </c>
      <c r="C8" s="83" t="s">
        <v>388</v>
      </c>
      <c r="D8" s="84" t="s">
        <v>558</v>
      </c>
      <c r="E8" s="85">
        <v>12</v>
      </c>
      <c r="F8" s="86">
        <v>1.5</v>
      </c>
      <c r="G8" s="86">
        <v>1.5</v>
      </c>
      <c r="H8" s="86">
        <v>1.5</v>
      </c>
      <c r="I8" s="80">
        <f t="shared" si="0" ref="I8:I29">E8*F8*G8*H8</f>
        <v>40.5</v>
      </c>
      <c r="J8" s="82" t="s">
        <v>225</v>
      </c>
      <c r="K8" s="87" t="s">
        <v>559</v>
      </c>
    </row>
    <row r="9" ht="21" customHeight="1">
      <c r="B9" s="75">
        <v>3</v>
      </c>
      <c r="C9" s="76" t="s">
        <v>388</v>
      </c>
      <c r="D9" s="77" t="s">
        <v>560</v>
      </c>
      <c r="E9" s="78">
        <v>1</v>
      </c>
      <c r="F9" s="79">
        <v>45</v>
      </c>
      <c r="G9" s="79">
        <v>0.3</v>
      </c>
      <c r="H9" s="79">
        <v>0.6</v>
      </c>
      <c r="I9" s="80">
        <f t="shared" si="0"/>
        <v>8.1</v>
      </c>
      <c r="J9" s="75" t="s">
        <v>225</v>
      </c>
      <c r="K9" s="81" t="s">
        <v>561</v>
      </c>
    </row>
    <row r="10" ht="21" customHeight="1">
      <c r="B10" s="82">
        <v>4</v>
      </c>
      <c r="C10" s="83" t="s">
        <v>388</v>
      </c>
      <c r="D10" s="84" t="s">
        <v>562</v>
      </c>
      <c r="E10" s="85"/>
      <c r="F10" s="86"/>
      <c r="G10" s="86"/>
      <c r="H10" s="86"/>
      <c r="I10" s="80">
        <f>I8+I9</f>
        <v>48.6</v>
      </c>
      <c r="J10" s="82" t="s">
        <v>225</v>
      </c>
      <c r="K10" s="87" t="s">
        <v>563</v>
      </c>
    </row>
    <row r="11" ht="21" customHeight="1">
      <c r="B11" s="75">
        <v>5</v>
      </c>
      <c r="C11" s="76" t="s">
        <v>391</v>
      </c>
      <c r="D11" s="77" t="s">
        <v>564</v>
      </c>
      <c r="E11" s="78"/>
      <c r="F11" s="79"/>
      <c r="G11" s="79"/>
      <c r="H11" s="79"/>
      <c r="I11" s="80">
        <f>I10*0.6</f>
        <v>29.16</v>
      </c>
      <c r="J11" s="75" t="s">
        <v>225</v>
      </c>
      <c r="K11" s="81" t="s">
        <v>565</v>
      </c>
    </row>
    <row r="12" ht="21" customHeight="1">
      <c r="B12" s="82">
        <v>6</v>
      </c>
      <c r="C12" s="83" t="s">
        <v>394</v>
      </c>
      <c r="D12" s="84" t="s">
        <v>566</v>
      </c>
      <c r="E12" s="85">
        <v>1</v>
      </c>
      <c r="F12" s="86">
        <v>9.14</v>
      </c>
      <c r="G12" s="86">
        <v>12.19</v>
      </c>
      <c r="H12" s="86"/>
      <c r="I12" s="80">
        <f t="shared" si="1"/>
        <v>111.4166</v>
      </c>
      <c r="J12" s="82" t="s">
        <v>76</v>
      </c>
      <c r="K12" s="87" t="s">
        <v>567</v>
      </c>
    </row>
    <row r="13" ht="21" customHeight="1">
      <c r="B13" s="75">
        <v>7</v>
      </c>
      <c r="C13" s="76" t="s">
        <v>397</v>
      </c>
      <c r="D13" s="77" t="s">
        <v>568</v>
      </c>
      <c r="E13" s="78">
        <v>1</v>
      </c>
      <c r="F13" s="79">
        <v>9.14</v>
      </c>
      <c r="G13" s="79">
        <v>12.19</v>
      </c>
      <c r="H13" s="79">
        <v>0.125</v>
      </c>
      <c r="I13" s="80">
        <f t="shared" si="0"/>
        <v>13.927075</v>
      </c>
      <c r="J13" s="75" t="s">
        <v>225</v>
      </c>
      <c r="K13" s="81" t="s">
        <v>569</v>
      </c>
    </row>
    <row r="14" ht="19.5" customHeight="1">
      <c r="B14" s="88" t="s">
        <v>570</v>
      </c>
      <c r="I14" s="34">
        <f>COUNTA(I7:I13)-1</f>
        <v>6</v>
      </c>
      <c r="J14" s="34" t="s">
        <v>571</v>
      </c>
      <c r="K14" s="34"/>
    </row>
    <row r="15" ht="18.75" customHeight="1">
      <c r="B15" s="74" t="s">
        <v>572</v>
      </c>
    </row>
    <row r="16" ht="21" customHeight="1">
      <c r="B16" s="75">
        <v>1</v>
      </c>
      <c r="C16" s="76" t="s">
        <v>402</v>
      </c>
      <c r="D16" s="77" t="s">
        <v>573</v>
      </c>
      <c r="E16" s="78">
        <v>12</v>
      </c>
      <c r="F16" s="79">
        <v>1.5</v>
      </c>
      <c r="G16" s="79">
        <v>1.5</v>
      </c>
      <c r="H16" s="79">
        <v>0.1</v>
      </c>
      <c r="I16" s="80">
        <f t="shared" si="0"/>
        <v>2.7</v>
      </c>
      <c r="J16" s="75" t="s">
        <v>225</v>
      </c>
      <c r="K16" s="81" t="s">
        <v>574</v>
      </c>
    </row>
    <row r="17" ht="21" customHeight="1">
      <c r="B17" s="82">
        <v>2</v>
      </c>
      <c r="C17" s="83" t="s">
        <v>402</v>
      </c>
      <c r="D17" s="84" t="s">
        <v>575</v>
      </c>
      <c r="E17" s="85">
        <v>1</v>
      </c>
      <c r="F17" s="86">
        <v>45</v>
      </c>
      <c r="G17" s="86">
        <v>0.3</v>
      </c>
      <c r="H17" s="86">
        <v>0.075</v>
      </c>
      <c r="I17" s="80">
        <f t="shared" si="0"/>
        <v>1.0125</v>
      </c>
      <c r="J17" s="82" t="s">
        <v>225</v>
      </c>
      <c r="K17" s="87" t="s">
        <v>576</v>
      </c>
    </row>
    <row r="18" ht="21" customHeight="1">
      <c r="B18" s="75">
        <v>3</v>
      </c>
      <c r="C18" s="76" t="s">
        <v>402</v>
      </c>
      <c r="D18" s="77" t="s">
        <v>577</v>
      </c>
      <c r="E18" s="78">
        <v>1</v>
      </c>
      <c r="F18" s="79">
        <v>9.14</v>
      </c>
      <c r="G18" s="79">
        <v>12.19</v>
      </c>
      <c r="H18" s="79">
        <v>0.075</v>
      </c>
      <c r="I18" s="80">
        <f t="shared" si="0"/>
        <v>8.356245</v>
      </c>
      <c r="J18" s="75" t="s">
        <v>225</v>
      </c>
      <c r="K18" s="81"/>
    </row>
    <row r="19" ht="21" customHeight="1">
      <c r="B19" s="82">
        <v>4</v>
      </c>
      <c r="C19" s="83" t="s">
        <v>407</v>
      </c>
      <c r="D19" s="84" t="s">
        <v>578</v>
      </c>
      <c r="E19" s="85">
        <v>12</v>
      </c>
      <c r="F19" s="86">
        <v>1.2</v>
      </c>
      <c r="G19" s="86">
        <v>1.2</v>
      </c>
      <c r="H19" s="86">
        <v>0.45</v>
      </c>
      <c r="I19" s="80">
        <f t="shared" si="0"/>
        <v>7.776</v>
      </c>
      <c r="J19" s="82" t="s">
        <v>225</v>
      </c>
      <c r="K19" s="87" t="s">
        <v>579</v>
      </c>
    </row>
    <row r="20" ht="21" customHeight="1">
      <c r="B20" s="75">
        <v>5</v>
      </c>
      <c r="C20" s="76" t="s">
        <v>410</v>
      </c>
      <c r="D20" s="77" t="s">
        <v>580</v>
      </c>
      <c r="E20" s="78">
        <v>12</v>
      </c>
      <c r="F20" s="79">
        <v>0.23</v>
      </c>
      <c r="G20" s="79">
        <v>0.3</v>
      </c>
      <c r="H20" s="79">
        <v>6.1</v>
      </c>
      <c r="I20" s="80">
        <f t="shared" si="0"/>
        <v>5.0508</v>
      </c>
      <c r="J20" s="75" t="s">
        <v>225</v>
      </c>
      <c r="K20" s="81" t="s">
        <v>581</v>
      </c>
    </row>
    <row r="21" ht="21" customHeight="1">
      <c r="B21" s="82">
        <v>6</v>
      </c>
      <c r="C21" s="83" t="s">
        <v>413</v>
      </c>
      <c r="D21" s="84" t="s">
        <v>582</v>
      </c>
      <c r="E21" s="85">
        <v>1</v>
      </c>
      <c r="F21" s="86">
        <v>45</v>
      </c>
      <c r="G21" s="86">
        <v>0.23</v>
      </c>
      <c r="H21" s="86">
        <v>0.3</v>
      </c>
      <c r="I21" s="80">
        <f t="shared" si="0"/>
        <v>3.105</v>
      </c>
      <c r="J21" s="82" t="s">
        <v>225</v>
      </c>
      <c r="K21" s="87"/>
    </row>
    <row r="22" ht="21" customHeight="1">
      <c r="B22" s="75">
        <v>7</v>
      </c>
      <c r="C22" s="76" t="s">
        <v>413</v>
      </c>
      <c r="D22" s="77" t="s">
        <v>583</v>
      </c>
      <c r="E22" s="78">
        <v>1</v>
      </c>
      <c r="F22" s="79">
        <v>50</v>
      </c>
      <c r="G22" s="79">
        <v>0.23</v>
      </c>
      <c r="H22" s="79">
        <v>0.15</v>
      </c>
      <c r="I22" s="80">
        <f t="shared" si="0"/>
        <v>1.725</v>
      </c>
      <c r="J22" s="75" t="s">
        <v>225</v>
      </c>
      <c r="K22" s="81"/>
    </row>
    <row r="23" ht="21" customHeight="1">
      <c r="B23" s="82">
        <v>8</v>
      </c>
      <c r="C23" s="83" t="s">
        <v>413</v>
      </c>
      <c r="D23" s="84" t="s">
        <v>584</v>
      </c>
      <c r="E23" s="85">
        <v>1</v>
      </c>
      <c r="F23" s="86">
        <v>60</v>
      </c>
      <c r="G23" s="86">
        <v>0.23</v>
      </c>
      <c r="H23" s="86">
        <v>0.35</v>
      </c>
      <c r="I23" s="80">
        <f t="shared" si="0"/>
        <v>4.83</v>
      </c>
      <c r="J23" s="82" t="s">
        <v>225</v>
      </c>
      <c r="K23" s="87" t="s">
        <v>585</v>
      </c>
    </row>
    <row r="24" ht="21" customHeight="1">
      <c r="B24" s="75">
        <v>9</v>
      </c>
      <c r="C24" s="76" t="s">
        <v>416</v>
      </c>
      <c r="D24" s="77" t="s">
        <v>586</v>
      </c>
      <c r="E24" s="78">
        <v>2</v>
      </c>
      <c r="F24" s="79">
        <v>9.14</v>
      </c>
      <c r="G24" s="79">
        <v>12.19</v>
      </c>
      <c r="H24" s="79">
        <v>0.15</v>
      </c>
      <c r="I24" s="80">
        <f t="shared" si="0"/>
        <v>33.42498</v>
      </c>
      <c r="J24" s="75" t="s">
        <v>225</v>
      </c>
      <c r="K24" s="81" t="s">
        <v>587</v>
      </c>
    </row>
    <row r="25" ht="21" customHeight="1">
      <c r="B25" s="82">
        <v>10</v>
      </c>
      <c r="C25" s="83" t="s">
        <v>419</v>
      </c>
      <c r="D25" s="84" t="s">
        <v>588</v>
      </c>
      <c r="E25" s="85">
        <v>1</v>
      </c>
      <c r="F25" s="86">
        <v>4.5</v>
      </c>
      <c r="G25" s="86">
        <v>1.2</v>
      </c>
      <c r="H25" s="86">
        <v>0.4</v>
      </c>
      <c r="I25" s="80">
        <f t="shared" si="0"/>
        <v>2.16</v>
      </c>
      <c r="J25" s="82" t="s">
        <v>225</v>
      </c>
      <c r="K25" s="87" t="s">
        <v>589</v>
      </c>
    </row>
    <row r="26" ht="18.75" customHeight="1">
      <c r="B26" s="74" t="s">
        <v>590</v>
      </c>
    </row>
    <row r="27" ht="21" customHeight="1">
      <c r="B27" s="75">
        <v>1</v>
      </c>
      <c r="C27" s="76" t="s">
        <v>362</v>
      </c>
      <c r="D27" s="77" t="s">
        <v>591</v>
      </c>
      <c r="E27" s="78">
        <v>1</v>
      </c>
      <c r="F27" s="79">
        <v>45</v>
      </c>
      <c r="G27" s="79">
        <v>0.23</v>
      </c>
      <c r="H27" s="79">
        <v>0.6</v>
      </c>
      <c r="I27" s="80">
        <f t="shared" si="0"/>
        <v>6.21</v>
      </c>
      <c r="J27" s="75" t="s">
        <v>225</v>
      </c>
      <c r="K27" s="81" t="s">
        <v>592</v>
      </c>
    </row>
    <row r="28" ht="21" customHeight="1">
      <c r="B28" s="82">
        <v>2</v>
      </c>
      <c r="C28" s="83" t="s">
        <v>366</v>
      </c>
      <c r="D28" s="84" t="s">
        <v>593</v>
      </c>
      <c r="E28" s="85">
        <v>1</v>
      </c>
      <c r="F28" s="86">
        <v>42</v>
      </c>
      <c r="G28" s="86">
        <v>0.23</v>
      </c>
      <c r="H28" s="86">
        <v>3.05</v>
      </c>
      <c r="I28" s="80">
        <f t="shared" si="0"/>
        <v>29.463</v>
      </c>
      <c r="J28" s="82" t="s">
        <v>225</v>
      </c>
      <c r="K28" s="87" t="s">
        <v>594</v>
      </c>
    </row>
    <row r="29" ht="21" customHeight="1">
      <c r="B29" s="75">
        <v>3</v>
      </c>
      <c r="C29" s="76" t="s">
        <v>366</v>
      </c>
      <c r="D29" s="77" t="s">
        <v>595</v>
      </c>
      <c r="E29" s="78">
        <v>1</v>
      </c>
      <c r="F29" s="79">
        <v>42</v>
      </c>
      <c r="G29" s="79">
        <v>0.23</v>
      </c>
      <c r="H29" s="79">
        <v>3.05</v>
      </c>
      <c r="I29" s="80">
        <f t="shared" si="0"/>
        <v>29.463</v>
      </c>
      <c r="J29" s="75" t="s">
        <v>225</v>
      </c>
      <c r="K29" s="81"/>
    </row>
    <row r="30" ht="21" customHeight="1">
      <c r="B30" s="82">
        <v>4</v>
      </c>
      <c r="C30" s="83" t="s">
        <v>366</v>
      </c>
      <c r="D30" s="84" t="s">
        <v>596</v>
      </c>
      <c r="E30" s="85"/>
      <c r="F30" s="86"/>
      <c r="G30" s="86"/>
      <c r="H30" s="86"/>
      <c r="I30" s="80">
        <v>-9.5</v>
      </c>
      <c r="J30" s="82" t="s">
        <v>225</v>
      </c>
      <c r="K30" s="87" t="s">
        <v>597</v>
      </c>
    </row>
    <row r="31" ht="21" customHeight="1">
      <c r="B31" s="75">
        <v>5</v>
      </c>
      <c r="C31" s="76" t="s">
        <v>370</v>
      </c>
      <c r="D31" s="77" t="s">
        <v>598</v>
      </c>
      <c r="E31" s="78">
        <v>2</v>
      </c>
      <c r="F31" s="79">
        <v>18</v>
      </c>
      <c r="G31" s="79"/>
      <c r="H31" s="79">
        <v>3.05</v>
      </c>
      <c r="I31" s="80">
        <f>E31*F31*H31*0.85</f>
        <v>93.33</v>
      </c>
      <c r="J31" s="75" t="s">
        <v>76</v>
      </c>
      <c r="K31" s="81" t="s">
        <v>599</v>
      </c>
    </row>
    <row r="32" ht="18.75" customHeight="1">
      <c r="B32" s="74" t="s">
        <v>600</v>
      </c>
    </row>
    <row r="33" ht="21" customHeight="1">
      <c r="B33" s="75">
        <v>1</v>
      </c>
      <c r="C33" s="76" t="s">
        <v>460</v>
      </c>
      <c r="D33" s="77" t="s">
        <v>601</v>
      </c>
      <c r="E33" s="78">
        <v>2</v>
      </c>
      <c r="F33" s="79">
        <v>80</v>
      </c>
      <c r="G33" s="79"/>
      <c r="H33" s="79">
        <v>3.05</v>
      </c>
      <c r="I33" s="80">
        <f>E33*F33*H33*0.78</f>
        <v>380.64</v>
      </c>
      <c r="J33" s="75" t="s">
        <v>76</v>
      </c>
      <c r="K33" s="81" t="s">
        <v>602</v>
      </c>
    </row>
    <row r="34" ht="21" customHeight="1">
      <c r="B34" s="82">
        <v>2</v>
      </c>
      <c r="C34" s="83" t="s">
        <v>462</v>
      </c>
      <c r="D34" s="84" t="s">
        <v>603</v>
      </c>
      <c r="E34" s="85">
        <v>1</v>
      </c>
      <c r="F34" s="86">
        <v>42</v>
      </c>
      <c r="G34" s="86"/>
      <c r="H34" s="86">
        <v>6.1</v>
      </c>
      <c r="I34" s="80">
        <f>E34*F34*H34*0.86</f>
        <v>220.332</v>
      </c>
      <c r="J34" s="82" t="s">
        <v>76</v>
      </c>
      <c r="K34" s="87" t="s">
        <v>602</v>
      </c>
    </row>
    <row r="35" ht="21" customHeight="1">
      <c r="B35" s="75">
        <v>3</v>
      </c>
      <c r="C35" s="76" t="s">
        <v>465</v>
      </c>
      <c r="D35" s="77" t="s">
        <v>604</v>
      </c>
      <c r="E35" s="78">
        <v>2</v>
      </c>
      <c r="F35" s="79">
        <v>9.14</v>
      </c>
      <c r="G35" s="79">
        <v>9.29</v>
      </c>
      <c r="H35" s="79"/>
      <c r="I35" s="80">
        <f t="shared" si="1"/>
        <v>169.8212</v>
      </c>
      <c r="J35" s="75" t="s">
        <v>76</v>
      </c>
      <c r="K35" s="81" t="s">
        <v>605</v>
      </c>
    </row>
    <row r="36" ht="18.75" customHeight="1">
      <c r="B36" s="74" t="s">
        <v>606</v>
      </c>
    </row>
    <row r="37" ht="21" customHeight="1">
      <c r="B37" s="75">
        <v>1</v>
      </c>
      <c r="C37" s="76" t="s">
        <v>479</v>
      </c>
      <c r="D37" s="77" t="s">
        <v>607</v>
      </c>
      <c r="E37" s="78">
        <v>2</v>
      </c>
      <c r="F37" s="79">
        <v>9.14</v>
      </c>
      <c r="G37" s="79">
        <v>8.2</v>
      </c>
      <c r="H37" s="79"/>
      <c r="I37" s="80">
        <f>E37*F37*G37*0.92</f>
        <v>137.90432</v>
      </c>
      <c r="J37" s="75" t="s">
        <v>76</v>
      </c>
      <c r="K37" s="81" t="s">
        <v>608</v>
      </c>
    </row>
    <row r="38" ht="21" customHeight="1">
      <c r="B38" s="82">
        <v>2</v>
      </c>
      <c r="C38" s="83" t="s">
        <v>482</v>
      </c>
      <c r="D38" s="84" t="s">
        <v>609</v>
      </c>
      <c r="E38" s="85">
        <v>4</v>
      </c>
      <c r="F38" s="86">
        <v>1.5</v>
      </c>
      <c r="G38" s="86">
        <v>1.8</v>
      </c>
      <c r="H38" s="86"/>
      <c r="I38" s="80">
        <f>E38*F38*G38*1.7</f>
        <v>18.36</v>
      </c>
      <c r="J38" s="82" t="s">
        <v>76</v>
      </c>
      <c r="K38" s="87"/>
    </row>
    <row r="39" ht="21" customHeight="1">
      <c r="B39" s="75">
        <v>3</v>
      </c>
      <c r="C39" s="76" t="s">
        <v>485</v>
      </c>
      <c r="D39" s="77" t="s">
        <v>610</v>
      </c>
      <c r="E39" s="78">
        <v>4</v>
      </c>
      <c r="F39" s="79">
        <v>6</v>
      </c>
      <c r="G39" s="79"/>
      <c r="H39" s="79">
        <v>2.1</v>
      </c>
      <c r="I39" s="80">
        <f>E39*F39*H39*0.9</f>
        <v>45.36</v>
      </c>
      <c r="J39" s="75" t="s">
        <v>76</v>
      </c>
      <c r="K39" s="81" t="s">
        <v>611</v>
      </c>
    </row>
    <row r="40" ht="18.75" customHeight="1">
      <c r="B40" s="74" t="s">
        <v>612</v>
      </c>
    </row>
    <row r="41" ht="21" customHeight="1">
      <c r="B41" s="75">
        <v>1</v>
      </c>
      <c r="C41" s="76" t="s">
        <v>294</v>
      </c>
      <c r="D41" s="77" t="s">
        <v>613</v>
      </c>
      <c r="E41" s="78">
        <v>1</v>
      </c>
      <c r="F41" s="79">
        <v>1</v>
      </c>
      <c r="G41" s="79">
        <v>2.1</v>
      </c>
      <c r="H41" s="79"/>
      <c r="I41" s="80">
        <f t="shared" si="1"/>
        <v>2.1</v>
      </c>
      <c r="J41" s="75" t="s">
        <v>76</v>
      </c>
      <c r="K41" s="81" t="s">
        <v>511</v>
      </c>
    </row>
    <row r="42" ht="21" customHeight="1">
      <c r="B42" s="82">
        <v>2</v>
      </c>
      <c r="C42" s="83" t="s">
        <v>298</v>
      </c>
      <c r="D42" s="84" t="s">
        <v>614</v>
      </c>
      <c r="E42" s="85">
        <v>5</v>
      </c>
      <c r="F42" s="86">
        <v>0.9</v>
      </c>
      <c r="G42" s="86">
        <v>2.1</v>
      </c>
      <c r="H42" s="86"/>
      <c r="I42" s="80">
        <f t="shared" si="1"/>
        <v>9.45</v>
      </c>
      <c r="J42" s="82" t="s">
        <v>76</v>
      </c>
      <c r="K42" s="87" t="s">
        <v>513</v>
      </c>
    </row>
    <row r="43" ht="21" customHeight="1">
      <c r="B43" s="75">
        <v>3</v>
      </c>
      <c r="C43" s="76" t="s">
        <v>514</v>
      </c>
      <c r="D43" s="77" t="s">
        <v>615</v>
      </c>
      <c r="E43" s="78">
        <v>2</v>
      </c>
      <c r="F43" s="79">
        <v>0.75</v>
      </c>
      <c r="G43" s="79">
        <v>2</v>
      </c>
      <c r="H43" s="79"/>
      <c r="I43" s="80">
        <f t="shared" si="1"/>
        <v>3</v>
      </c>
      <c r="J43" s="75" t="s">
        <v>76</v>
      </c>
      <c r="K43" s="81" t="s">
        <v>516</v>
      </c>
    </row>
    <row r="44" ht="21" customHeight="1">
      <c r="B44" s="82">
        <v>4</v>
      </c>
      <c r="C44" s="83" t="s">
        <v>302</v>
      </c>
      <c r="D44" s="84" t="s">
        <v>616</v>
      </c>
      <c r="E44" s="85">
        <v>10</v>
      </c>
      <c r="F44" s="86">
        <v>1.5</v>
      </c>
      <c r="G44" s="86">
        <v>1.2</v>
      </c>
      <c r="H44" s="86"/>
      <c r="I44" s="80">
        <f t="shared" si="1"/>
        <v>18</v>
      </c>
      <c r="J44" s="82" t="s">
        <v>76</v>
      </c>
      <c r="K44" s="87" t="s">
        <v>617</v>
      </c>
    </row>
    <row r="46" ht="21" customHeight="1">
      <c r="B46" s="89" t="s">
        <v>618</v>
      </c>
    </row>
    <row r="47" ht="18.75" customHeight="1">
      <c r="B47" s="90" t="s">
        <v>169</v>
      </c>
      <c r="C47" s="90" t="s">
        <v>619</v>
      </c>
      <c r="D47" s="90" t="s">
        <v>620</v>
      </c>
      <c r="G47" s="90" t="s">
        <v>621</v>
      </c>
      <c r="H47" s="90" t="s">
        <v>60</v>
      </c>
      <c r="I47" s="90" t="s">
        <v>622</v>
      </c>
    </row>
    <row r="48" ht="19.5" customHeight="1">
      <c r="B48" s="50">
        <v>1</v>
      </c>
      <c r="C48" s="91" t="s">
        <v>623</v>
      </c>
      <c r="D48" s="91" t="s">
        <v>624</v>
      </c>
      <c r="G48" s="92">
        <f>I10</f>
        <v>48.6</v>
      </c>
      <c r="H48" s="50" t="s">
        <v>225</v>
      </c>
      <c r="I48" s="91" t="s">
        <v>625</v>
      </c>
    </row>
    <row r="49" ht="19.5" customHeight="1">
      <c r="B49" s="50">
        <v>2</v>
      </c>
      <c r="C49" s="91" t="s">
        <v>626</v>
      </c>
      <c r="D49" s="91" t="s">
        <v>627</v>
      </c>
      <c r="G49" s="92">
        <f>SUM(I16:I18)+SUM(I19:I25)</f>
        <v>70.140525</v>
      </c>
      <c r="H49" s="50" t="s">
        <v>225</v>
      </c>
      <c r="I49" s="91" t="s">
        <v>628</v>
      </c>
    </row>
    <row r="50" ht="19.5" customHeight="1">
      <c r="B50" s="50">
        <v>3</v>
      </c>
      <c r="C50" s="91" t="s">
        <v>629</v>
      </c>
      <c r="D50" s="91" t="s">
        <v>630</v>
      </c>
      <c r="G50" s="92">
        <f>SUM(I27:I30)</f>
        <v>55.636</v>
      </c>
      <c r="H50" s="50" t="s">
        <v>225</v>
      </c>
      <c r="I50" s="91" t="s">
        <v>631</v>
      </c>
    </row>
    <row r="51" ht="19.5" customHeight="1">
      <c r="B51" s="50">
        <v>4</v>
      </c>
      <c r="C51" s="91" t="s">
        <v>632</v>
      </c>
      <c r="D51" s="91" t="s">
        <v>633</v>
      </c>
      <c r="G51" s="92">
        <f>SUM(I33:I35)</f>
        <v>770.7932</v>
      </c>
      <c r="H51" s="50" t="s">
        <v>76</v>
      </c>
      <c r="I51" s="91" t="s">
        <v>634</v>
      </c>
    </row>
    <row r="52" ht="19.5" customHeight="1">
      <c r="B52" s="50">
        <v>5</v>
      </c>
      <c r="C52" s="91" t="s">
        <v>635</v>
      </c>
      <c r="D52" s="91" t="s">
        <v>636</v>
      </c>
      <c r="G52" s="92">
        <f>SUM(I37:I39)</f>
        <v>201.62432</v>
      </c>
      <c r="H52" s="50" t="s">
        <v>76</v>
      </c>
      <c r="I52" s="91" t="s">
        <v>637</v>
      </c>
    </row>
    <row r="53" ht="19.5" customHeight="1">
      <c r="B53" s="50">
        <v>6</v>
      </c>
      <c r="C53" s="91" t="s">
        <v>638</v>
      </c>
      <c r="D53" s="91" t="s">
        <v>639</v>
      </c>
      <c r="G53" s="92">
        <f>SUM(I41:I44)</f>
        <v>32.55</v>
      </c>
      <c r="H53" s="50" t="s">
        <v>76</v>
      </c>
      <c r="I53" s="91" t="s">
        <v>640</v>
      </c>
    </row>
    <row r="55" ht="16.5" customHeight="1">
      <c r="B55" s="93" t="s">
        <v>641</v>
      </c>
    </row>
    <row r="56" ht="16.5" customHeight="1">
      <c r="B56" s="94" t="s">
        <v>642</v>
      </c>
    </row>
    <row r="57" ht="16.5" customHeight="1">
      <c r="B57" s="94" t="s">
        <v>643</v>
      </c>
    </row>
    <row r="58" ht="16.5" customHeight="1">
      <c r="B58" s="94" t="s">
        <v>644</v>
      </c>
    </row>
    <row r="59" ht="16.5" customHeight="1">
      <c r="B59" s="94" t="s">
        <v>645</v>
      </c>
    </row>
    <row r="60" ht="16.5" customHeight="1">
      <c r="B60" s="94" t="s">
        <v>646</v>
      </c>
    </row>
  </sheetData>
  <mergeCells>
    <mergeCell ref="B1:K1"/>
    <mergeCell ref="B2:K2"/>
    <mergeCell ref="B3:K3"/>
    <mergeCell ref="B6:K6"/>
    <mergeCell ref="B14:H14"/>
    <mergeCell ref="B15:K15"/>
    <mergeCell ref="B26:K26"/>
    <mergeCell ref="B32:K32"/>
    <mergeCell ref="B36:K36"/>
    <mergeCell ref="B40:K40"/>
    <mergeCell ref="B46:K46"/>
    <mergeCell ref="D47:F47"/>
    <mergeCell ref="I47:K47"/>
    <mergeCell ref="D48:F48"/>
    <mergeCell ref="I48:K48"/>
    <mergeCell ref="D49:F49"/>
    <mergeCell ref="I49:K49"/>
    <mergeCell ref="D50:F50"/>
    <mergeCell ref="I50:K50"/>
    <mergeCell ref="D51:F51"/>
    <mergeCell ref="I51:K51"/>
    <mergeCell ref="D52:F52"/>
    <mergeCell ref="I52:K52"/>
    <mergeCell ref="D53:F53"/>
    <mergeCell ref="I53:K53"/>
    <mergeCell ref="B55:K55"/>
    <mergeCell ref="B56:K56"/>
    <mergeCell ref="B57:K57"/>
    <mergeCell ref="B58:K58"/>
    <mergeCell ref="B59:K59"/>
    <mergeCell ref="B60:K60"/>
  </mergeCells>
  <printOptions/>
  <pageMargins left="0.7" right="0.7" top="0.75" bottom="0.75" header="0.3" footer="0.3"/>
  <pageSetup paperSize="1" orientation="portrait"/>
  <headerFooter>
    <oddHeader>&amp;L&amp;C&amp;R</oddHeader>
    <oddFooter>&amp;L&amp;C&amp;R</oddFooter>
  </headerFooter>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C8088928-1BA1-D24A-F308-602B2B9E8D78}" mc:Ignorable="x14ac xr xr2 xr3">
  <dimension ref="A1:GR1000"/>
  <sheetViews>
    <sheetView topLeftCell="A1" workbookViewId="0">
      <pane ySplit="5" topLeftCell="A106" activePane="bottomLeft" state="frozen"/>
      <selection pane="bottomLeft" activeCell="B116" sqref="B116:H116"/>
    </sheetView>
  </sheetViews>
  <sheetFormatPr defaultRowHeight="15" defaultColWidth="8.8515625" customHeight="1"/>
  <cols>
    <col min="1" max="1" width="4.28125" customWidth="1"/>
    <col min="2" max="2" width="8.57421875" customWidth="1"/>
    <col min="3" max="3" width="45.7109375" customWidth="1"/>
    <col min="4" max="4" width="10.00390625" customWidth="1"/>
    <col min="5" max="5" width="12.8515625" customWidth="1"/>
    <col min="6" max="6" width="14.28125" customWidth="1"/>
    <col min="7" max="7" width="15.7109375" customWidth="1"/>
    <col min="8" max="8" width="24.28125" customWidth="1"/>
  </cols>
  <sheetData>
    <row r="1" ht="30" customHeight="1">
      <c r="B1" s="31" t="s">
        <v>647</v>
      </c>
    </row>
    <row r="2" ht="16.5" customHeight="1">
      <c r="B2" s="32" t="s">
        <v>648</v>
      </c>
    </row>
    <row r="3" ht="18.75" customHeight="1">
      <c r="B3" s="34" t="s">
        <v>649</v>
      </c>
    </row>
    <row r="5" ht="22.5" customHeight="1">
      <c r="B5" s="95" t="s">
        <v>650</v>
      </c>
    </row>
    <row r="6" ht="18.75" customHeight="1">
      <c r="B6" s="90" t="s">
        <v>169</v>
      </c>
      <c r="C6" s="90" t="s">
        <v>620</v>
      </c>
      <c r="D6" s="90" t="s">
        <v>60</v>
      </c>
      <c r="E6" s="90" t="s">
        <v>381</v>
      </c>
      <c r="F6" s="90" t="s">
        <v>382</v>
      </c>
      <c r="G6" s="90" t="s">
        <v>383</v>
      </c>
      <c r="H6" s="90" t="s">
        <v>61</v>
      </c>
    </row>
    <row r="7" ht="16.5" customHeight="1">
      <c r="B7" s="96" t="s">
        <v>651</v>
      </c>
    </row>
    <row r="8" ht="16.5" customHeight="1">
      <c r="B8" s="97">
        <v>1</v>
      </c>
      <c r="C8" s="98" t="s">
        <v>652</v>
      </c>
      <c r="D8" s="99" t="s">
        <v>180</v>
      </c>
      <c r="E8" s="100">
        <v>7.87</v>
      </c>
      <c r="F8" s="101">
        <v>510</v>
      </c>
      <c r="G8" s="102">
        <f t="shared" si="0" ref="G8:G111">E8*F8</f>
        <v>4013.7</v>
      </c>
      <c r="H8" s="103" t="s">
        <v>653</v>
      </c>
    </row>
    <row r="9" ht="16.5" customHeight="1">
      <c r="B9" s="97">
        <v>2</v>
      </c>
      <c r="C9" s="98" t="s">
        <v>654</v>
      </c>
      <c r="D9" s="99" t="s">
        <v>225</v>
      </c>
      <c r="E9" s="100">
        <v>0.42</v>
      </c>
      <c r="F9" s="101">
        <v>2600</v>
      </c>
      <c r="G9" s="102">
        <f t="shared" si="0"/>
        <v>1092</v>
      </c>
      <c r="H9" s="103" t="s">
        <v>655</v>
      </c>
    </row>
    <row r="10" ht="16.5" customHeight="1">
      <c r="B10" s="97">
        <v>3</v>
      </c>
      <c r="C10" s="98" t="s">
        <v>656</v>
      </c>
      <c r="D10" s="99" t="s">
        <v>225</v>
      </c>
      <c r="E10" s="100">
        <v>0.83</v>
      </c>
      <c r="F10" s="101">
        <v>1600</v>
      </c>
      <c r="G10" s="102">
        <f t="shared" si="0"/>
        <v>1328</v>
      </c>
      <c r="H10" s="103" t="s">
        <v>657</v>
      </c>
    </row>
    <row r="11" ht="16.5" customHeight="1">
      <c r="B11" s="97">
        <v>4</v>
      </c>
      <c r="C11" s="98" t="s">
        <v>658</v>
      </c>
      <c r="D11" s="99" t="s">
        <v>313</v>
      </c>
      <c r="E11" s="100">
        <v>200</v>
      </c>
      <c r="F11" s="101">
        <v>0.5</v>
      </c>
      <c r="G11" s="102">
        <f t="shared" si="0"/>
        <v>100</v>
      </c>
      <c r="H11" s="103"/>
    </row>
    <row r="12" ht="16.5" customHeight="1">
      <c r="B12" s="97">
        <v>5</v>
      </c>
      <c r="C12" s="98" t="s">
        <v>659</v>
      </c>
      <c r="D12" s="99" t="s">
        <v>313</v>
      </c>
      <c r="E12" s="100">
        <v>1.5</v>
      </c>
      <c r="F12" s="101">
        <v>115</v>
      </c>
      <c r="G12" s="102">
        <f t="shared" si="0"/>
        <v>172.5</v>
      </c>
      <c r="H12" s="103" t="s">
        <v>368</v>
      </c>
    </row>
    <row r="13" ht="15" customHeight="1">
      <c r="B13" s="104" t="s">
        <v>660</v>
      </c>
      <c r="G13" s="105">
        <f>SUM(G8:G12)</f>
        <v>6706.2</v>
      </c>
      <c r="H13" s="104"/>
    </row>
    <row r="14" ht="16.5" customHeight="1">
      <c r="B14" s="96" t="s">
        <v>661</v>
      </c>
    </row>
    <row r="15" ht="16.5" customHeight="1">
      <c r="B15" s="97">
        <v>1</v>
      </c>
      <c r="C15" s="98" t="s">
        <v>662</v>
      </c>
      <c r="D15" s="99" t="s">
        <v>334</v>
      </c>
      <c r="E15" s="100">
        <v>0.27</v>
      </c>
      <c r="F15" s="101">
        <v>900</v>
      </c>
      <c r="G15" s="102">
        <f t="shared" si="0"/>
        <v>243</v>
      </c>
      <c r="H15" s="103" t="s">
        <v>663</v>
      </c>
    </row>
    <row r="16" ht="16.5" customHeight="1">
      <c r="B16" s="97">
        <v>2</v>
      </c>
      <c r="C16" s="98" t="s">
        <v>664</v>
      </c>
      <c r="D16" s="99" t="s">
        <v>334</v>
      </c>
      <c r="E16" s="100">
        <v>1.8</v>
      </c>
      <c r="F16" s="101">
        <v>550</v>
      </c>
      <c r="G16" s="102">
        <f t="shared" si="0"/>
        <v>990</v>
      </c>
      <c r="H16" s="103" t="s">
        <v>665</v>
      </c>
    </row>
    <row r="17" ht="16.5" customHeight="1">
      <c r="B17" s="97">
        <v>3</v>
      </c>
      <c r="C17" s="98" t="s">
        <v>666</v>
      </c>
      <c r="D17" s="99" t="s">
        <v>334</v>
      </c>
      <c r="E17" s="100">
        <v>0.27</v>
      </c>
      <c r="F17" s="101">
        <v>550</v>
      </c>
      <c r="G17" s="102">
        <f t="shared" si="0"/>
        <v>148.5</v>
      </c>
      <c r="H17" s="103" t="s">
        <v>667</v>
      </c>
    </row>
    <row r="18" ht="15" customHeight="1">
      <c r="B18" s="104" t="s">
        <v>668</v>
      </c>
      <c r="G18" s="105">
        <f t="shared" si="1" ref="G18:G81">SUM(G15:G17)</f>
        <v>1381.5</v>
      </c>
      <c r="H18" s="104"/>
    </row>
    <row r="19" ht="16.5" customHeight="1">
      <c r="B19" s="96" t="s">
        <v>669</v>
      </c>
    </row>
    <row r="20" ht="16.5" customHeight="1">
      <c r="B20" s="97">
        <v>1</v>
      </c>
      <c r="C20" s="98" t="s">
        <v>670</v>
      </c>
      <c r="D20" s="99" t="s">
        <v>671</v>
      </c>
      <c r="E20" s="100">
        <v>0.5</v>
      </c>
      <c r="F20" s="101">
        <v>280</v>
      </c>
      <c r="G20" s="102">
        <f t="shared" si="0"/>
        <v>140</v>
      </c>
      <c r="H20" s="103" t="s">
        <v>672</v>
      </c>
    </row>
    <row r="21" ht="16.5" customHeight="1">
      <c r="B21" s="97">
        <v>2</v>
      </c>
      <c r="C21" s="98" t="s">
        <v>673</v>
      </c>
      <c r="D21" s="99" t="s">
        <v>671</v>
      </c>
      <c r="E21" s="100">
        <v>0.5</v>
      </c>
      <c r="F21" s="101">
        <v>120</v>
      </c>
      <c r="G21" s="102">
        <f t="shared" si="0"/>
        <v>60</v>
      </c>
      <c r="H21" s="103"/>
    </row>
    <row r="22" ht="16.5" customHeight="1">
      <c r="B22" s="97">
        <v>3</v>
      </c>
      <c r="C22" s="98" t="s">
        <v>674</v>
      </c>
      <c r="D22" s="99" t="s">
        <v>527</v>
      </c>
      <c r="E22" s="100">
        <v>1</v>
      </c>
      <c r="F22" s="101">
        <v>80</v>
      </c>
      <c r="G22" s="102">
        <f t="shared" si="0"/>
        <v>80</v>
      </c>
      <c r="H22" s="103" t="s">
        <v>675</v>
      </c>
    </row>
    <row r="23" ht="15" customHeight="1">
      <c r="B23" s="104" t="s">
        <v>676</v>
      </c>
      <c r="G23" s="105">
        <f t="shared" si="1"/>
        <v>280</v>
      </c>
      <c r="H23" s="104"/>
    </row>
    <row r="24" ht="16.5" customHeight="1">
      <c r="B24" s="96" t="s">
        <v>677</v>
      </c>
    </row>
    <row r="25" ht="16.5" customHeight="1">
      <c r="B25" s="97">
        <v>1</v>
      </c>
      <c r="C25" s="98" t="s">
        <v>678</v>
      </c>
      <c r="D25" s="99" t="s">
        <v>100</v>
      </c>
      <c r="E25" s="106">
        <v>0.03</v>
      </c>
      <c r="F25" s="101">
        <f>G13</f>
        <v>6706.2</v>
      </c>
      <c r="G25" s="102">
        <f t="shared" si="0"/>
        <v>201.186</v>
      </c>
      <c r="H25" s="103" t="s">
        <v>679</v>
      </c>
    </row>
    <row r="26" ht="16.5" customHeight="1">
      <c r="B26" s="97">
        <v>2</v>
      </c>
      <c r="C26" s="98" t="s">
        <v>680</v>
      </c>
      <c r="D26" s="99" t="s">
        <v>527</v>
      </c>
      <c r="E26" s="100">
        <v>1</v>
      </c>
      <c r="F26" s="101">
        <v>150</v>
      </c>
      <c r="G26" s="102">
        <f t="shared" si="0"/>
        <v>150</v>
      </c>
      <c r="H26" s="103" t="s">
        <v>681</v>
      </c>
    </row>
    <row r="27" ht="16.5" customHeight="1">
      <c r="B27" s="97">
        <v>3</v>
      </c>
      <c r="C27" s="98" t="s">
        <v>682</v>
      </c>
      <c r="D27" s="99" t="s">
        <v>100</v>
      </c>
      <c r="E27" s="106">
        <v>0.1</v>
      </c>
      <c r="F27" s="101">
        <f>G13+G18+G23+G25+G26</f>
        <v>8718.886</v>
      </c>
      <c r="G27" s="102">
        <f t="shared" si="0"/>
        <v>871.8886</v>
      </c>
      <c r="H27" s="103" t="s">
        <v>683</v>
      </c>
    </row>
    <row r="28" ht="16.5" customHeight="1">
      <c r="B28" s="97">
        <v>4</v>
      </c>
      <c r="C28" s="98" t="s">
        <v>684</v>
      </c>
      <c r="D28" s="99" t="s">
        <v>100</v>
      </c>
      <c r="E28" s="106">
        <v>0.15</v>
      </c>
      <c r="F28" s="101">
        <f>G13+G18+G23+G25+G26+G27</f>
        <v>9590.7746</v>
      </c>
      <c r="G28" s="102">
        <f t="shared" si="0"/>
        <v>1438.61619</v>
      </c>
      <c r="H28" s="103"/>
    </row>
    <row r="29" ht="15" customHeight="1">
      <c r="B29" s="104" t="s">
        <v>685</v>
      </c>
      <c r="G29" s="105">
        <f t="shared" si="2" ref="G29:G112">SUM(G25:G28)</f>
        <v>2661.69079</v>
      </c>
      <c r="H29" s="104"/>
    </row>
    <row r="30" ht="22.5" customHeight="1">
      <c r="B30" s="107" t="s">
        <v>686</v>
      </c>
      <c r="G30" s="108">
        <f>G13+G18+G23+G29</f>
        <v>11029.39079</v>
      </c>
      <c r="H30" s="107"/>
    </row>
    <row r="31" ht="15" customHeight="1">
      <c r="B31" s="109" t="s">
        <v>687</v>
      </c>
      <c r="G31" s="110">
        <f t="shared" si="3" ref="G31:G56">ROUND(G30,-2)</f>
        <v>11000</v>
      </c>
      <c r="H31" s="47" t="s">
        <v>688</v>
      </c>
    </row>
    <row r="33" ht="22.5" customHeight="1">
      <c r="B33" s="95" t="s">
        <v>689</v>
      </c>
    </row>
    <row r="34" ht="18.75" customHeight="1">
      <c r="B34" s="90" t="s">
        <v>169</v>
      </c>
      <c r="C34" s="90" t="s">
        <v>620</v>
      </c>
      <c r="D34" s="90" t="s">
        <v>60</v>
      </c>
      <c r="E34" s="90" t="s">
        <v>381</v>
      </c>
      <c r="F34" s="90" t="s">
        <v>382</v>
      </c>
      <c r="G34" s="90" t="s">
        <v>383</v>
      </c>
      <c r="H34" s="90" t="s">
        <v>61</v>
      </c>
    </row>
    <row r="35" ht="16.5" customHeight="1">
      <c r="B35" s="96" t="s">
        <v>651</v>
      </c>
    </row>
    <row r="36" ht="16.5" customHeight="1">
      <c r="B36" s="97">
        <v>1</v>
      </c>
      <c r="C36" s="98" t="s">
        <v>690</v>
      </c>
      <c r="D36" s="99" t="s">
        <v>82</v>
      </c>
      <c r="E36" s="100">
        <v>500</v>
      </c>
      <c r="F36" s="101">
        <v>11</v>
      </c>
      <c r="G36" s="102">
        <f t="shared" si="0"/>
        <v>5500</v>
      </c>
      <c r="H36" s="103" t="s">
        <v>691</v>
      </c>
    </row>
    <row r="37" ht="16.5" customHeight="1">
      <c r="B37" s="97">
        <v>2</v>
      </c>
      <c r="C37" s="98" t="s">
        <v>692</v>
      </c>
      <c r="D37" s="99" t="s">
        <v>180</v>
      </c>
      <c r="E37" s="100">
        <v>1.83</v>
      </c>
      <c r="F37" s="101">
        <v>510</v>
      </c>
      <c r="G37" s="102">
        <f t="shared" si="0"/>
        <v>933.3</v>
      </c>
      <c r="H37" s="103" t="s">
        <v>693</v>
      </c>
    </row>
    <row r="38" ht="16.5" customHeight="1">
      <c r="B38" s="97">
        <v>3</v>
      </c>
      <c r="C38" s="98" t="s">
        <v>694</v>
      </c>
      <c r="D38" s="99" t="s">
        <v>225</v>
      </c>
      <c r="E38" s="100">
        <v>0.28</v>
      </c>
      <c r="F38" s="101">
        <v>2600</v>
      </c>
      <c r="G38" s="102">
        <f t="shared" si="0"/>
        <v>728</v>
      </c>
      <c r="H38" s="103"/>
    </row>
    <row r="39" ht="16.5" customHeight="1">
      <c r="B39" s="97">
        <v>4</v>
      </c>
      <c r="C39" s="98" t="s">
        <v>695</v>
      </c>
      <c r="D39" s="99" t="s">
        <v>313</v>
      </c>
      <c r="E39" s="100">
        <v>50</v>
      </c>
      <c r="F39" s="101">
        <v>0.5</v>
      </c>
      <c r="G39" s="102">
        <f t="shared" si="0"/>
        <v>25</v>
      </c>
      <c r="H39" s="103"/>
    </row>
    <row r="40" ht="15" customHeight="1">
      <c r="B40" s="104" t="s">
        <v>660</v>
      </c>
      <c r="G40" s="105">
        <f t="shared" si="2"/>
        <v>7186.3</v>
      </c>
      <c r="H40" s="104"/>
    </row>
    <row r="41" ht="16.5" customHeight="1">
      <c r="B41" s="96" t="s">
        <v>661</v>
      </c>
    </row>
    <row r="42" ht="16.5" customHeight="1">
      <c r="B42" s="97">
        <v>1</v>
      </c>
      <c r="C42" s="98" t="s">
        <v>696</v>
      </c>
      <c r="D42" s="99" t="s">
        <v>334</v>
      </c>
      <c r="E42" s="100">
        <v>0.65</v>
      </c>
      <c r="F42" s="101">
        <v>900</v>
      </c>
      <c r="G42" s="102">
        <f t="shared" si="0"/>
        <v>585</v>
      </c>
      <c r="H42" s="103"/>
    </row>
    <row r="43" ht="16.5" customHeight="1">
      <c r="B43" s="97">
        <v>2</v>
      </c>
      <c r="C43" s="98" t="s">
        <v>697</v>
      </c>
      <c r="D43" s="99" t="s">
        <v>334</v>
      </c>
      <c r="E43" s="100">
        <v>1.5</v>
      </c>
      <c r="F43" s="101">
        <v>550</v>
      </c>
      <c r="G43" s="102">
        <f t="shared" si="0"/>
        <v>825</v>
      </c>
      <c r="H43" s="103" t="s">
        <v>350</v>
      </c>
    </row>
    <row r="44" ht="16.5" customHeight="1">
      <c r="B44" s="97">
        <v>3</v>
      </c>
      <c r="C44" s="98" t="s">
        <v>698</v>
      </c>
      <c r="D44" s="99" t="s">
        <v>334</v>
      </c>
      <c r="E44" s="100">
        <v>0.2</v>
      </c>
      <c r="F44" s="101">
        <v>550</v>
      </c>
      <c r="G44" s="102">
        <f t="shared" si="0"/>
        <v>110</v>
      </c>
      <c r="H44" s="103"/>
    </row>
    <row r="45" ht="15" customHeight="1">
      <c r="B45" s="104" t="s">
        <v>668</v>
      </c>
      <c r="G45" s="105">
        <f t="shared" si="1"/>
        <v>1520</v>
      </c>
      <c r="H45" s="104"/>
    </row>
    <row r="46" ht="16.5" customHeight="1">
      <c r="B46" s="96" t="s">
        <v>699</v>
      </c>
    </row>
    <row r="47" ht="16.5" customHeight="1">
      <c r="B47" s="97">
        <v>1</v>
      </c>
      <c r="C47" s="98" t="s">
        <v>700</v>
      </c>
      <c r="D47" s="99" t="s">
        <v>527</v>
      </c>
      <c r="E47" s="100">
        <v>1</v>
      </c>
      <c r="F47" s="101">
        <v>60</v>
      </c>
      <c r="G47" s="102">
        <f t="shared" si="0"/>
        <v>60</v>
      </c>
      <c r="H47" s="103" t="s">
        <v>675</v>
      </c>
    </row>
    <row r="48" ht="16.5" customHeight="1">
      <c r="B48" s="97">
        <v>2</v>
      </c>
      <c r="C48" s="98" t="s">
        <v>701</v>
      </c>
      <c r="D48" s="99" t="s">
        <v>527</v>
      </c>
      <c r="E48" s="100">
        <v>1</v>
      </c>
      <c r="F48" s="101">
        <v>120</v>
      </c>
      <c r="G48" s="102">
        <f t="shared" si="0"/>
        <v>120</v>
      </c>
      <c r="H48" s="103" t="s">
        <v>702</v>
      </c>
    </row>
    <row r="49" ht="15" customHeight="1">
      <c r="B49" s="104" t="s">
        <v>703</v>
      </c>
      <c r="G49" s="105">
        <f t="shared" si="4" ref="G49:G106">SUM(G47:G48)</f>
        <v>180</v>
      </c>
      <c r="H49" s="104"/>
    </row>
    <row r="50" ht="16.5" customHeight="1">
      <c r="B50" s="96" t="s">
        <v>704</v>
      </c>
    </row>
    <row r="51" ht="16.5" customHeight="1">
      <c r="B51" s="97">
        <v>1</v>
      </c>
      <c r="C51" s="98" t="s">
        <v>705</v>
      </c>
      <c r="D51" s="99" t="s">
        <v>100</v>
      </c>
      <c r="E51" s="106">
        <v>0.05</v>
      </c>
      <c r="F51" s="101">
        <f>G40</f>
        <v>7186.3</v>
      </c>
      <c r="G51" s="102">
        <f t="shared" si="0"/>
        <v>359.315</v>
      </c>
      <c r="H51" s="103" t="s">
        <v>706</v>
      </c>
    </row>
    <row r="52" ht="16.5" customHeight="1">
      <c r="B52" s="97">
        <v>2</v>
      </c>
      <c r="C52" s="98" t="s">
        <v>682</v>
      </c>
      <c r="D52" s="99" t="s">
        <v>100</v>
      </c>
      <c r="E52" s="106">
        <v>0.1</v>
      </c>
      <c r="F52" s="101">
        <f>G40+G45+G49+G51</f>
        <v>9245.615</v>
      </c>
      <c r="G52" s="102">
        <f t="shared" si="0"/>
        <v>924.5615</v>
      </c>
      <c r="H52" s="103"/>
    </row>
    <row r="53" ht="16.5" customHeight="1">
      <c r="B53" s="97">
        <v>3</v>
      </c>
      <c r="C53" s="98" t="s">
        <v>707</v>
      </c>
      <c r="D53" s="99" t="s">
        <v>100</v>
      </c>
      <c r="E53" s="106">
        <v>0.15</v>
      </c>
      <c r="F53" s="101">
        <f>G40+G45+G49+G51+G52</f>
        <v>10170.1765</v>
      </c>
      <c r="G53" s="102">
        <f t="shared" si="0"/>
        <v>1525.526475</v>
      </c>
      <c r="H53" s="103"/>
    </row>
    <row r="54" ht="15" customHeight="1">
      <c r="B54" s="104" t="s">
        <v>685</v>
      </c>
      <c r="G54" s="105">
        <f t="shared" si="1"/>
        <v>2809.402975</v>
      </c>
      <c r="H54" s="104"/>
    </row>
    <row r="55" ht="22.5" customHeight="1">
      <c r="B55" s="107" t="s">
        <v>708</v>
      </c>
      <c r="G55" s="108">
        <f>G40+G45+G49+G54</f>
        <v>11695.702975</v>
      </c>
      <c r="H55" s="107"/>
    </row>
    <row r="56" ht="15" customHeight="1">
      <c r="B56" s="109" t="s">
        <v>687</v>
      </c>
      <c r="G56" s="110">
        <f t="shared" si="3"/>
        <v>11700</v>
      </c>
      <c r="H56" s="47" t="s">
        <v>709</v>
      </c>
    </row>
    <row r="58" ht="22.5" customHeight="1">
      <c r="B58" s="95" t="s">
        <v>710</v>
      </c>
    </row>
    <row r="59" ht="18.75" customHeight="1">
      <c r="B59" s="90" t="s">
        <v>169</v>
      </c>
      <c r="C59" s="90" t="s">
        <v>620</v>
      </c>
      <c r="D59" s="90" t="s">
        <v>60</v>
      </c>
      <c r="E59" s="90" t="s">
        <v>381</v>
      </c>
      <c r="F59" s="90" t="s">
        <v>382</v>
      </c>
      <c r="G59" s="90" t="s">
        <v>383</v>
      </c>
      <c r="H59" s="90" t="s">
        <v>61</v>
      </c>
    </row>
    <row r="60" ht="16.5" customHeight="1">
      <c r="B60" s="96" t="s">
        <v>711</v>
      </c>
    </row>
    <row r="61" ht="16.5" customHeight="1">
      <c r="B61" s="97">
        <v>1</v>
      </c>
      <c r="C61" s="98" t="s">
        <v>712</v>
      </c>
      <c r="D61" s="99" t="s">
        <v>334</v>
      </c>
      <c r="E61" s="100">
        <v>0.3</v>
      </c>
      <c r="F61" s="101">
        <v>550</v>
      </c>
      <c r="G61" s="102">
        <f t="shared" si="0"/>
        <v>165</v>
      </c>
      <c r="H61" s="103" t="s">
        <v>713</v>
      </c>
    </row>
    <row r="62" ht="16.5" customHeight="1">
      <c r="B62" s="97">
        <v>2</v>
      </c>
      <c r="C62" s="98" t="s">
        <v>714</v>
      </c>
      <c r="D62" s="99" t="s">
        <v>334</v>
      </c>
      <c r="E62" s="100">
        <v>0.03</v>
      </c>
      <c r="F62" s="101">
        <v>700</v>
      </c>
      <c r="G62" s="102">
        <f t="shared" si="0"/>
        <v>21</v>
      </c>
      <c r="H62" s="103"/>
    </row>
    <row r="63" ht="15" customHeight="1">
      <c r="B63" s="104" t="s">
        <v>715</v>
      </c>
      <c r="G63" s="105">
        <f t="shared" si="4"/>
        <v>186</v>
      </c>
      <c r="H63" s="104"/>
    </row>
    <row r="64" ht="16.5" customHeight="1">
      <c r="B64" s="96" t="s">
        <v>716</v>
      </c>
    </row>
    <row r="65" ht="16.5" customHeight="1">
      <c r="B65" s="97">
        <v>1</v>
      </c>
      <c r="C65" s="98" t="s">
        <v>717</v>
      </c>
      <c r="D65" s="99" t="s">
        <v>527</v>
      </c>
      <c r="E65" s="100">
        <v>1</v>
      </c>
      <c r="F65" s="101">
        <v>25</v>
      </c>
      <c r="G65" s="102">
        <f t="shared" si="0"/>
        <v>25</v>
      </c>
      <c r="H65" s="103" t="s">
        <v>675</v>
      </c>
    </row>
    <row r="66" ht="16.5" customHeight="1">
      <c r="B66" s="97">
        <v>2</v>
      </c>
      <c r="C66" s="98" t="s">
        <v>718</v>
      </c>
      <c r="D66" s="99" t="s">
        <v>225</v>
      </c>
      <c r="E66" s="100">
        <v>1</v>
      </c>
      <c r="F66" s="101">
        <v>25</v>
      </c>
      <c r="G66" s="102">
        <f t="shared" si="0"/>
        <v>25</v>
      </c>
      <c r="H66" s="103" t="s">
        <v>719</v>
      </c>
    </row>
    <row r="67" ht="15" customHeight="1">
      <c r="B67" s="104" t="s">
        <v>720</v>
      </c>
      <c r="G67" s="105">
        <f t="shared" si="4"/>
        <v>50</v>
      </c>
      <c r="H67" s="104"/>
    </row>
    <row r="68" ht="16.5" customHeight="1">
      <c r="B68" s="96" t="s">
        <v>721</v>
      </c>
    </row>
    <row r="69" ht="16.5" customHeight="1">
      <c r="B69" s="97">
        <v>1</v>
      </c>
      <c r="C69" s="98" t="s">
        <v>682</v>
      </c>
      <c r="D69" s="99" t="s">
        <v>100</v>
      </c>
      <c r="E69" s="106">
        <v>0.1</v>
      </c>
      <c r="F69" s="101">
        <f>G63+G67</f>
        <v>236</v>
      </c>
      <c r="G69" s="102">
        <f t="shared" si="0"/>
        <v>23.6</v>
      </c>
      <c r="H69" s="103"/>
    </row>
    <row r="70" ht="16.5" customHeight="1">
      <c r="B70" s="97">
        <v>2</v>
      </c>
      <c r="C70" s="98" t="s">
        <v>707</v>
      </c>
      <c r="D70" s="99" t="s">
        <v>100</v>
      </c>
      <c r="E70" s="106">
        <v>0.15</v>
      </c>
      <c r="F70" s="101">
        <f>G63+G67+G69</f>
        <v>259.6</v>
      </c>
      <c r="G70" s="102">
        <f t="shared" si="0"/>
        <v>38.94</v>
      </c>
      <c r="H70" s="103"/>
    </row>
    <row r="71" ht="15" customHeight="1">
      <c r="B71" s="104" t="s">
        <v>722</v>
      </c>
      <c r="G71" s="105">
        <f t="shared" si="4"/>
        <v>62.54</v>
      </c>
      <c r="H71" s="104"/>
    </row>
    <row r="72" ht="22.5" customHeight="1">
      <c r="B72" s="107" t="s">
        <v>708</v>
      </c>
      <c r="G72" s="108">
        <f>G63+G67+G71</f>
        <v>298.54</v>
      </c>
      <c r="H72" s="107"/>
    </row>
    <row r="73" ht="15" customHeight="1">
      <c r="B73" s="109" t="s">
        <v>687</v>
      </c>
      <c r="G73" s="110">
        <f t="shared" si="8" ref="G73:G114">ROUND(G72,-1)</f>
        <v>300</v>
      </c>
      <c r="H73" s="47" t="s">
        <v>723</v>
      </c>
    </row>
    <row r="75" ht="22.5" customHeight="1">
      <c r="B75" s="95" t="s">
        <v>724</v>
      </c>
    </row>
    <row r="76" ht="18.75" customHeight="1">
      <c r="B76" s="90" t="s">
        <v>169</v>
      </c>
      <c r="C76" s="90" t="s">
        <v>620</v>
      </c>
      <c r="D76" s="90" t="s">
        <v>60</v>
      </c>
      <c r="E76" s="90" t="s">
        <v>381</v>
      </c>
      <c r="F76" s="90" t="s">
        <v>382</v>
      </c>
      <c r="G76" s="90" t="s">
        <v>383</v>
      </c>
      <c r="H76" s="90" t="s">
        <v>61</v>
      </c>
    </row>
    <row r="77" ht="16.5" customHeight="1">
      <c r="B77" s="96" t="s">
        <v>651</v>
      </c>
    </row>
    <row r="78" ht="16.5" customHeight="1">
      <c r="B78" s="97">
        <v>1</v>
      </c>
      <c r="C78" s="98" t="s">
        <v>725</v>
      </c>
      <c r="D78" s="99" t="s">
        <v>180</v>
      </c>
      <c r="E78" s="100">
        <v>0.124</v>
      </c>
      <c r="F78" s="101">
        <v>510</v>
      </c>
      <c r="G78" s="102">
        <f t="shared" si="0"/>
        <v>63.24</v>
      </c>
      <c r="H78" s="103" t="s">
        <v>726</v>
      </c>
    </row>
    <row r="79" ht="16.5" customHeight="1">
      <c r="B79" s="97">
        <v>2</v>
      </c>
      <c r="C79" s="98" t="s">
        <v>727</v>
      </c>
      <c r="D79" s="99" t="s">
        <v>225</v>
      </c>
      <c r="E79" s="100">
        <v>0.018</v>
      </c>
      <c r="F79" s="101">
        <v>2800</v>
      </c>
      <c r="G79" s="102">
        <f t="shared" si="0"/>
        <v>50.4</v>
      </c>
      <c r="H79" s="103" t="s">
        <v>234</v>
      </c>
    </row>
    <row r="80" ht="16.5" customHeight="1">
      <c r="B80" s="97">
        <v>3</v>
      </c>
      <c r="C80" s="98" t="s">
        <v>695</v>
      </c>
      <c r="D80" s="99" t="s">
        <v>313</v>
      </c>
      <c r="E80" s="100">
        <v>6</v>
      </c>
      <c r="F80" s="101">
        <v>0.5</v>
      </c>
      <c r="G80" s="102">
        <f t="shared" si="0"/>
        <v>3</v>
      </c>
      <c r="H80" s="103"/>
    </row>
    <row r="81" ht="15" customHeight="1">
      <c r="B81" s="104" t="s">
        <v>660</v>
      </c>
      <c r="G81" s="105">
        <f t="shared" si="1"/>
        <v>116.64</v>
      </c>
      <c r="H81" s="104"/>
    </row>
    <row r="82" ht="16.5" customHeight="1">
      <c r="B82" s="96" t="s">
        <v>661</v>
      </c>
    </row>
    <row r="83" ht="16.5" customHeight="1">
      <c r="B83" s="97">
        <v>1</v>
      </c>
      <c r="C83" s="98" t="s">
        <v>696</v>
      </c>
      <c r="D83" s="99" t="s">
        <v>334</v>
      </c>
      <c r="E83" s="100">
        <v>0.1</v>
      </c>
      <c r="F83" s="101">
        <v>900</v>
      </c>
      <c r="G83" s="102">
        <f t="shared" si="0"/>
        <v>90</v>
      </c>
      <c r="H83" s="103"/>
    </row>
    <row r="84" ht="16.5" customHeight="1">
      <c r="B84" s="97">
        <v>2</v>
      </c>
      <c r="C84" s="98" t="s">
        <v>697</v>
      </c>
      <c r="D84" s="99" t="s">
        <v>334</v>
      </c>
      <c r="E84" s="100">
        <v>0.15</v>
      </c>
      <c r="F84" s="101">
        <v>550</v>
      </c>
      <c r="G84" s="102">
        <f t="shared" si="0"/>
        <v>82.5</v>
      </c>
      <c r="H84" s="103"/>
    </row>
    <row r="85" ht="15" customHeight="1">
      <c r="B85" s="104" t="s">
        <v>668</v>
      </c>
      <c r="G85" s="105">
        <f t="shared" si="4"/>
        <v>172.5</v>
      </c>
      <c r="H85" s="104"/>
    </row>
    <row r="86" ht="16.5" customHeight="1">
      <c r="B86" s="96" t="s">
        <v>721</v>
      </c>
    </row>
    <row r="87" ht="16.5" customHeight="1">
      <c r="B87" s="97">
        <v>1</v>
      </c>
      <c r="C87" s="98" t="s">
        <v>728</v>
      </c>
      <c r="D87" s="99" t="s">
        <v>100</v>
      </c>
      <c r="E87" s="106">
        <v>0.03</v>
      </c>
      <c r="F87" s="101">
        <f>G81</f>
        <v>116.64</v>
      </c>
      <c r="G87" s="102">
        <f t="shared" si="0"/>
        <v>3.4992</v>
      </c>
      <c r="H87" s="103"/>
    </row>
    <row r="88" ht="16.5" customHeight="1">
      <c r="B88" s="97">
        <v>2</v>
      </c>
      <c r="C88" s="98" t="s">
        <v>701</v>
      </c>
      <c r="D88" s="99" t="s">
        <v>527</v>
      </c>
      <c r="E88" s="100">
        <v>1</v>
      </c>
      <c r="F88" s="101">
        <v>12</v>
      </c>
      <c r="G88" s="102">
        <f t="shared" si="0"/>
        <v>12</v>
      </c>
      <c r="H88" s="103"/>
    </row>
    <row r="89" ht="16.5" customHeight="1">
      <c r="B89" s="97">
        <v>3</v>
      </c>
      <c r="C89" s="98" t="s">
        <v>682</v>
      </c>
      <c r="D89" s="99" t="s">
        <v>100</v>
      </c>
      <c r="E89" s="106">
        <v>0.1</v>
      </c>
      <c r="F89" s="101">
        <f t="shared" si="5" ref="F89:F110">G81+G85+G87+G88</f>
        <v>304.6392</v>
      </c>
      <c r="G89" s="102">
        <f t="shared" si="0"/>
        <v>30.46392</v>
      </c>
      <c r="H89" s="103"/>
    </row>
    <row r="90" ht="16.5" customHeight="1">
      <c r="B90" s="97">
        <v>4</v>
      </c>
      <c r="C90" s="98" t="s">
        <v>707</v>
      </c>
      <c r="D90" s="99" t="s">
        <v>100</v>
      </c>
      <c r="E90" s="106">
        <v>0.15</v>
      </c>
      <c r="F90" s="101">
        <f t="shared" si="6" ref="F90:F111">G81+G85+G87+G88+G89</f>
        <v>335.10312</v>
      </c>
      <c r="G90" s="102">
        <f t="shared" si="0"/>
        <v>50.265468</v>
      </c>
      <c r="H90" s="103"/>
    </row>
    <row r="91" ht="15" customHeight="1">
      <c r="B91" s="104" t="s">
        <v>722</v>
      </c>
      <c r="G91" s="105">
        <f t="shared" si="2"/>
        <v>96.228588</v>
      </c>
      <c r="H91" s="104"/>
    </row>
    <row r="92" ht="22.5" customHeight="1">
      <c r="B92" s="107" t="s">
        <v>729</v>
      </c>
      <c r="G92" s="108">
        <f t="shared" si="7" ref="G92:G113">G81+G85+G91</f>
        <v>385.368588</v>
      </c>
      <c r="H92" s="107"/>
    </row>
    <row r="93" ht="15" customHeight="1">
      <c r="B93" s="109" t="s">
        <v>730</v>
      </c>
      <c r="G93" s="110">
        <f>ROUND(G92,0)</f>
        <v>385</v>
      </c>
      <c r="H93" s="47" t="s">
        <v>731</v>
      </c>
    </row>
    <row r="95" ht="22.5" customHeight="1">
      <c r="B95" s="95" t="s">
        <v>732</v>
      </c>
    </row>
    <row r="96" ht="18.75" customHeight="1">
      <c r="B96" s="90" t="s">
        <v>169</v>
      </c>
      <c r="C96" s="90" t="s">
        <v>620</v>
      </c>
      <c r="D96" s="90" t="s">
        <v>60</v>
      </c>
      <c r="E96" s="90" t="s">
        <v>381</v>
      </c>
      <c r="F96" s="90" t="s">
        <v>382</v>
      </c>
      <c r="G96" s="90" t="s">
        <v>383</v>
      </c>
      <c r="H96" s="90" t="s">
        <v>61</v>
      </c>
    </row>
    <row r="97" ht="16.5" customHeight="1">
      <c r="B97" s="96" t="s">
        <v>651</v>
      </c>
    </row>
    <row r="98" ht="16.5" customHeight="1">
      <c r="B98" s="97">
        <v>1</v>
      </c>
      <c r="C98" s="98" t="s">
        <v>733</v>
      </c>
      <c r="D98" s="99" t="s">
        <v>76</v>
      </c>
      <c r="E98" s="100">
        <v>1.05</v>
      </c>
      <c r="F98" s="101">
        <v>850</v>
      </c>
      <c r="G98" s="102">
        <f t="shared" si="0"/>
        <v>892.5</v>
      </c>
      <c r="H98" s="103" t="s">
        <v>113</v>
      </c>
    </row>
    <row r="99" ht="16.5" customHeight="1">
      <c r="B99" s="97">
        <v>2</v>
      </c>
      <c r="C99" s="98" t="s">
        <v>734</v>
      </c>
      <c r="D99" s="99" t="s">
        <v>180</v>
      </c>
      <c r="E99" s="100">
        <v>0.45</v>
      </c>
      <c r="F99" s="101">
        <v>510</v>
      </c>
      <c r="G99" s="102">
        <f t="shared" si="0"/>
        <v>229.5</v>
      </c>
      <c r="H99" s="103" t="s">
        <v>735</v>
      </c>
    </row>
    <row r="100" ht="16.5" customHeight="1">
      <c r="B100" s="97">
        <v>3</v>
      </c>
      <c r="C100" s="98" t="s">
        <v>736</v>
      </c>
      <c r="D100" s="99" t="s">
        <v>225</v>
      </c>
      <c r="E100" s="100">
        <v>0.022</v>
      </c>
      <c r="F100" s="101">
        <v>2800</v>
      </c>
      <c r="G100" s="102">
        <f t="shared" si="0"/>
        <v>61.6</v>
      </c>
      <c r="H100" s="103"/>
    </row>
    <row r="101" ht="16.5" customHeight="1">
      <c r="B101" s="97">
        <v>4</v>
      </c>
      <c r="C101" s="98" t="s">
        <v>737</v>
      </c>
      <c r="D101" s="99" t="s">
        <v>219</v>
      </c>
      <c r="E101" s="100">
        <v>0.5</v>
      </c>
      <c r="F101" s="101">
        <v>180</v>
      </c>
      <c r="G101" s="102">
        <f t="shared" si="0"/>
        <v>90</v>
      </c>
      <c r="H101" s="103"/>
    </row>
    <row r="102" ht="15" customHeight="1">
      <c r="B102" s="104" t="s">
        <v>660</v>
      </c>
      <c r="G102" s="105">
        <f t="shared" si="2"/>
        <v>1273.6</v>
      </c>
      <c r="H102" s="104"/>
    </row>
    <row r="103" ht="16.5" customHeight="1">
      <c r="B103" s="96" t="s">
        <v>661</v>
      </c>
    </row>
    <row r="104" ht="16.5" customHeight="1">
      <c r="B104" s="97">
        <v>1</v>
      </c>
      <c r="C104" s="98" t="s">
        <v>738</v>
      </c>
      <c r="D104" s="99" t="s">
        <v>334</v>
      </c>
      <c r="E104" s="100">
        <v>0.15</v>
      </c>
      <c r="F104" s="101">
        <v>950</v>
      </c>
      <c r="G104" s="102">
        <f t="shared" si="0"/>
        <v>142.5</v>
      </c>
      <c r="H104" s="103"/>
    </row>
    <row r="105" ht="16.5" customHeight="1">
      <c r="B105" s="97">
        <v>2</v>
      </c>
      <c r="C105" s="98" t="s">
        <v>697</v>
      </c>
      <c r="D105" s="99" t="s">
        <v>334</v>
      </c>
      <c r="E105" s="100">
        <v>0.15</v>
      </c>
      <c r="F105" s="101">
        <v>550</v>
      </c>
      <c r="G105" s="102">
        <f t="shared" si="0"/>
        <v>82.5</v>
      </c>
      <c r="H105" s="103"/>
    </row>
    <row r="106" ht="15" customHeight="1">
      <c r="B106" s="104" t="s">
        <v>668</v>
      </c>
      <c r="G106" s="105">
        <f t="shared" si="4"/>
        <v>225</v>
      </c>
      <c r="H106" s="104"/>
    </row>
    <row r="107" ht="16.5" customHeight="1">
      <c r="B107" s="96" t="s">
        <v>721</v>
      </c>
    </row>
    <row r="108" ht="16.5" customHeight="1">
      <c r="B108" s="97">
        <v>1</v>
      </c>
      <c r="C108" s="98" t="s">
        <v>739</v>
      </c>
      <c r="D108" s="99" t="s">
        <v>527</v>
      </c>
      <c r="E108" s="100">
        <v>1</v>
      </c>
      <c r="F108" s="101">
        <v>25</v>
      </c>
      <c r="G108" s="102">
        <f t="shared" si="0"/>
        <v>25</v>
      </c>
      <c r="H108" s="103"/>
    </row>
    <row r="109" ht="16.5" customHeight="1">
      <c r="B109" s="97">
        <v>2</v>
      </c>
      <c r="C109" s="98" t="s">
        <v>740</v>
      </c>
      <c r="D109" s="99" t="s">
        <v>527</v>
      </c>
      <c r="E109" s="100">
        <v>1</v>
      </c>
      <c r="F109" s="101">
        <v>30</v>
      </c>
      <c r="G109" s="102">
        <f t="shared" si="0"/>
        <v>30</v>
      </c>
      <c r="H109" s="103"/>
    </row>
    <row r="110" ht="16.5" customHeight="1">
      <c r="B110" s="97">
        <v>3</v>
      </c>
      <c r="C110" s="98" t="s">
        <v>682</v>
      </c>
      <c r="D110" s="99" t="s">
        <v>100</v>
      </c>
      <c r="E110" s="106">
        <v>0.1</v>
      </c>
      <c r="F110" s="101">
        <f t="shared" si="5"/>
        <v>1553.6</v>
      </c>
      <c r="G110" s="102">
        <f t="shared" si="0"/>
        <v>155.36</v>
      </c>
      <c r="H110" s="103"/>
    </row>
    <row r="111" ht="16.5" customHeight="1">
      <c r="B111" s="97">
        <v>4</v>
      </c>
      <c r="C111" s="98" t="s">
        <v>707</v>
      </c>
      <c r="D111" s="99" t="s">
        <v>100</v>
      </c>
      <c r="E111" s="106">
        <v>0.15</v>
      </c>
      <c r="F111" s="101">
        <f t="shared" si="6"/>
        <v>1708.96</v>
      </c>
      <c r="G111" s="102">
        <f t="shared" si="0"/>
        <v>256.344</v>
      </c>
      <c r="H111" s="103"/>
    </row>
    <row r="112" ht="15" customHeight="1">
      <c r="B112" s="104" t="s">
        <v>722</v>
      </c>
      <c r="G112" s="105">
        <f t="shared" si="2"/>
        <v>466.704</v>
      </c>
      <c r="H112" s="104"/>
    </row>
    <row r="113" ht="22.5" customHeight="1">
      <c r="B113" s="107" t="s">
        <v>729</v>
      </c>
      <c r="G113" s="108">
        <f t="shared" si="7"/>
        <v>1965.304</v>
      </c>
      <c r="H113" s="107"/>
    </row>
    <row r="114" ht="15" customHeight="1">
      <c r="B114" s="109" t="s">
        <v>730</v>
      </c>
      <c r="G114" s="110">
        <f t="shared" si="8"/>
        <v>1970</v>
      </c>
      <c r="H114" s="47" t="s">
        <v>741</v>
      </c>
    </row>
    <row r="116" ht="24" customHeight="1">
      <c r="B116" s="111" t="s">
        <v>742</v>
      </c>
    </row>
    <row r="117" ht="19.5" customHeight="1">
      <c r="B117" s="90" t="s">
        <v>169</v>
      </c>
      <c r="C117" s="90" t="s">
        <v>170</v>
      </c>
      <c r="D117" s="90" t="s">
        <v>60</v>
      </c>
      <c r="E117" s="90" t="s">
        <v>549</v>
      </c>
      <c r="F117" s="90" t="s">
        <v>743</v>
      </c>
      <c r="G117" s="90" t="s">
        <v>744</v>
      </c>
      <c r="H117" s="90" t="s">
        <v>745</v>
      </c>
    </row>
    <row r="118" ht="18" customHeight="1">
      <c r="B118" s="53">
        <v>1</v>
      </c>
      <c r="C118" s="55" t="s">
        <v>746</v>
      </c>
      <c r="D118" s="56" t="s">
        <v>225</v>
      </c>
      <c r="E118" s="56" t="s">
        <v>747</v>
      </c>
      <c r="F118" s="58">
        <f>G31</f>
        <v>11000</v>
      </c>
      <c r="G118" s="58">
        <f>BOQ!G19</f>
        <v>8400</v>
      </c>
      <c r="H118" s="112">
        <f t="shared" si="9" ref="H118:H122">(F118-G118)/G118</f>
        <v>0.30952380952381</v>
      </c>
    </row>
    <row r="119" ht="18" customHeight="1">
      <c r="B119" s="60">
        <v>2</v>
      </c>
      <c r="C119" s="62" t="s">
        <v>748</v>
      </c>
      <c r="D119" s="63" t="s">
        <v>225</v>
      </c>
      <c r="E119" s="63" t="s">
        <v>749</v>
      </c>
      <c r="F119" s="65">
        <f>G56</f>
        <v>11700</v>
      </c>
      <c r="G119" s="65">
        <f>BOQ!G37</f>
        <v>6800</v>
      </c>
      <c r="H119" s="113">
        <f t="shared" si="9"/>
        <v>0.720588235294118</v>
      </c>
    </row>
    <row r="120" ht="18" customHeight="1">
      <c r="B120" s="53">
        <v>3</v>
      </c>
      <c r="C120" s="55" t="s">
        <v>750</v>
      </c>
      <c r="D120" s="56" t="s">
        <v>225</v>
      </c>
      <c r="E120" s="56" t="s">
        <v>751</v>
      </c>
      <c r="F120" s="58">
        <f>G73</f>
        <v>300</v>
      </c>
      <c r="G120" s="58">
        <f>BOQ!G8</f>
        <v>180</v>
      </c>
      <c r="H120" s="112">
        <f t="shared" si="9"/>
        <v>0.666666666666667</v>
      </c>
    </row>
    <row r="121" ht="18" customHeight="1">
      <c r="B121" s="60">
        <v>4</v>
      </c>
      <c r="C121" s="62" t="s">
        <v>752</v>
      </c>
      <c r="D121" s="63" t="s">
        <v>76</v>
      </c>
      <c r="E121" s="63" t="s">
        <v>753</v>
      </c>
      <c r="F121" s="65">
        <f>G93</f>
        <v>385</v>
      </c>
      <c r="G121" s="65">
        <f>BOQ!G42</f>
        <v>240</v>
      </c>
      <c r="H121" s="113">
        <f t="shared" si="9"/>
        <v>0.604166666666667</v>
      </c>
    </row>
    <row r="122" ht="18" customHeight="1">
      <c r="B122" s="53">
        <v>5</v>
      </c>
      <c r="C122" s="55" t="s">
        <v>754</v>
      </c>
      <c r="D122" s="56" t="s">
        <v>76</v>
      </c>
      <c r="E122" s="56" t="s">
        <v>755</v>
      </c>
      <c r="F122" s="58">
        <f>G114</f>
        <v>1970</v>
      </c>
      <c r="G122" s="58">
        <f>BOQ!G51</f>
        <v>1250</v>
      </c>
      <c r="H122" s="112">
        <f t="shared" si="9"/>
        <v>0.576</v>
      </c>
    </row>
    <row r="124" ht="41.25" customHeight="1">
      <c r="B124" s="114" t="s">
        <v>756</v>
      </c>
    </row>
  </sheetData>
  <mergeCells>
    <mergeCell ref="B1:H1"/>
    <mergeCell ref="B2:H2"/>
    <mergeCell ref="B3:H3"/>
    <mergeCell ref="B5:H5"/>
    <mergeCell ref="B7:H7"/>
    <mergeCell ref="B13:F13"/>
    <mergeCell ref="B14:H14"/>
    <mergeCell ref="B18:F18"/>
    <mergeCell ref="B19:H19"/>
    <mergeCell ref="B23:F23"/>
    <mergeCell ref="B24:H24"/>
    <mergeCell ref="B29:F29"/>
    <mergeCell ref="B30:F30"/>
    <mergeCell ref="B31:F31"/>
    <mergeCell ref="B33:H33"/>
    <mergeCell ref="B35:H35"/>
    <mergeCell ref="B40:F40"/>
    <mergeCell ref="B41:H41"/>
    <mergeCell ref="B45:F45"/>
    <mergeCell ref="B46:H46"/>
    <mergeCell ref="B49:F49"/>
    <mergeCell ref="B50:H50"/>
    <mergeCell ref="B54:F54"/>
    <mergeCell ref="B55:F55"/>
    <mergeCell ref="B56:F56"/>
    <mergeCell ref="B58:H58"/>
    <mergeCell ref="B60:H60"/>
    <mergeCell ref="B63:F63"/>
    <mergeCell ref="B64:H64"/>
    <mergeCell ref="B67:F67"/>
    <mergeCell ref="B68:H68"/>
    <mergeCell ref="B71:F71"/>
    <mergeCell ref="B72:F72"/>
    <mergeCell ref="B73:F73"/>
    <mergeCell ref="B75:H75"/>
    <mergeCell ref="B77:H77"/>
    <mergeCell ref="B81:F81"/>
    <mergeCell ref="B82:H82"/>
    <mergeCell ref="B85:F85"/>
    <mergeCell ref="B86:H86"/>
    <mergeCell ref="B91:F91"/>
    <mergeCell ref="B92:F92"/>
    <mergeCell ref="B93:F93"/>
    <mergeCell ref="B95:H95"/>
    <mergeCell ref="B97:H97"/>
    <mergeCell ref="B102:F102"/>
    <mergeCell ref="B103:H103"/>
    <mergeCell ref="B106:F106"/>
    <mergeCell ref="B107:H107"/>
    <mergeCell ref="B112:F112"/>
    <mergeCell ref="B113:F113"/>
    <mergeCell ref="B114:F114"/>
    <mergeCell ref="B116:H116"/>
    <mergeCell ref="B124:H124"/>
  </mergeCells>
  <printOptions/>
  <pageMargins left="0.7" right="0.7" top="0.75" bottom="0.75" header="0.3" footer="0.3"/>
  <pageSetup paperSize="1" orientation="portrait"/>
  <headerFooter>
    <oddHeader>&amp;L&amp;C&amp;R</oddHeader>
    <oddFooter>&amp;L&amp;C&amp;R</oddFooter>
  </headerFooter>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E833A73-F5EE-FFA4-E388-9B984EABED8F}" mc:Ignorable="x14ac xr xr2 xr3">
  <dimension ref="A1:GR1000"/>
  <sheetViews>
    <sheetView topLeftCell="A1" workbookViewId="0">
      <pane ySplit="6" topLeftCell="A7" activePane="bottomLeft" state="frozen"/>
      <selection pane="bottomLeft" activeCell="A6" sqref="A6"/>
    </sheetView>
  </sheetViews>
  <sheetFormatPr defaultRowHeight="15" defaultColWidth="8.8515625" customHeight="1"/>
  <cols>
    <col min="1" max="1" width="3.421875" customWidth="1"/>
    <col min="2" max="2" width="9.140625" customWidth="1"/>
    <col min="3" max="4" width="20.57421875" customWidth="1"/>
    <col min="5" max="6" width="11.421875" customWidth="1"/>
    <col min="7" max="7" width="13.7109375" customWidth="1"/>
    <col min="8" max="8" width="11.421875" customWidth="1"/>
    <col min="9" max="9" width="13.7109375" customWidth="1"/>
    <col min="10" max="10" width="16.00390625" customWidth="1"/>
    <col min="11" max="11" width="13.7109375" customWidth="1"/>
    <col min="12" max="12" width="22.8515625" customWidth="1"/>
  </cols>
  <sheetData>
    <row r="1" ht="30" customHeight="1">
      <c r="B1" s="31" t="s">
        <v>757</v>
      </c>
    </row>
    <row r="2" ht="16.5" customHeight="1">
      <c r="B2" s="32" t="s">
        <v>758</v>
      </c>
    </row>
    <row r="3" ht="18.75" customHeight="1">
      <c r="B3" s="34" t="s">
        <v>759</v>
      </c>
    </row>
    <row r="5" ht="28.5" customHeight="1">
      <c r="B5" s="35" t="s">
        <v>169</v>
      </c>
      <c r="C5" s="35" t="s">
        <v>760</v>
      </c>
      <c r="D5" s="35" t="s">
        <v>761</v>
      </c>
      <c r="E5" s="35" t="s">
        <v>762</v>
      </c>
      <c r="F5" s="35" t="s">
        <v>82</v>
      </c>
      <c r="G5" s="35" t="s">
        <v>763</v>
      </c>
      <c r="H5" s="35" t="s">
        <v>764</v>
      </c>
      <c r="I5" s="35" t="s">
        <v>765</v>
      </c>
      <c r="J5" s="35" t="s">
        <v>766</v>
      </c>
      <c r="K5" s="35" t="s">
        <v>767</v>
      </c>
      <c r="L5" s="35" t="s">
        <v>61</v>
      </c>
    </row>
    <row r="6" ht="18.75" customHeight="1">
      <c r="B6" s="52" t="s">
        <v>768</v>
      </c>
    </row>
    <row r="7" ht="15" customHeight="1">
      <c r="B7">
        <v>1</v>
      </c>
      <c r="C7" t="s">
        <v>769</v>
      </c>
      <c r="D7" t="s">
        <v>770</v>
      </c>
      <c r="E7">
        <v>12</v>
      </c>
      <c r="F7">
        <v>96</v>
      </c>
      <c r="G7">
        <v>1.15</v>
      </c>
      <c r="H7">
        <f t="shared" si="0" ref="H7:J48">F7*G7</f>
        <v>110.4</v>
      </c>
      <c r="I7">
        <f t="shared" si="1" ref="I7:I48">E7*E7/162.2</f>
        <v>0.887792848335389</v>
      </c>
      <c r="J7">
        <f t="shared" si="0"/>
        <v>98.0123304562269</v>
      </c>
      <c r="K7" t="s">
        <v>771</v>
      </c>
      <c r="L7" t="s">
        <v>772</v>
      </c>
    </row>
    <row r="8" ht="15" customHeight="1">
      <c r="B8">
        <v>2</v>
      </c>
      <c r="C8" t="s">
        <v>773</v>
      </c>
      <c r="D8" t="s">
        <v>774</v>
      </c>
      <c r="E8">
        <v>12</v>
      </c>
      <c r="F8">
        <v>96</v>
      </c>
      <c r="G8">
        <v>1.15</v>
      </c>
      <c r="H8">
        <f t="shared" si="0"/>
        <v>110.4</v>
      </c>
      <c r="I8">
        <f t="shared" si="1"/>
        <v>0.887792848335389</v>
      </c>
      <c r="J8">
        <f t="shared" si="0"/>
        <v>98.0123304562269</v>
      </c>
      <c r="K8" t="s">
        <v>771</v>
      </c>
      <c r="L8" t="s">
        <v>775</v>
      </c>
    </row>
    <row r="9" ht="15" customHeight="1">
      <c r="B9">
        <v>3</v>
      </c>
      <c r="C9" t="s">
        <v>776</v>
      </c>
      <c r="D9" t="s">
        <v>777</v>
      </c>
      <c r="E9">
        <v>10</v>
      </c>
      <c r="F9">
        <v>96</v>
      </c>
      <c r="G9">
        <v>1.15</v>
      </c>
      <c r="H9">
        <f t="shared" si="0"/>
        <v>110.4</v>
      </c>
      <c r="I9">
        <f t="shared" si="1"/>
        <v>0.61652281134402</v>
      </c>
      <c r="J9">
        <f t="shared" si="0"/>
        <v>68.0641183723798</v>
      </c>
      <c r="K9" t="s">
        <v>771</v>
      </c>
      <c r="L9" t="s">
        <v>778</v>
      </c>
    </row>
    <row r="10" ht="15" customHeight="1">
      <c r="B10">
        <v>4</v>
      </c>
      <c r="C10" t="s">
        <v>779</v>
      </c>
      <c r="D10" t="s">
        <v>780</v>
      </c>
      <c r="E10">
        <v>16</v>
      </c>
      <c r="F10">
        <v>48</v>
      </c>
      <c r="G10">
        <v>0.9</v>
      </c>
      <c r="H10">
        <f t="shared" si="0"/>
        <v>43.2</v>
      </c>
      <c r="I10">
        <f t="shared" si="1"/>
        <v>1.57829839704069</v>
      </c>
      <c r="J10">
        <f t="shared" si="0"/>
        <v>68.1824907521578</v>
      </c>
      <c r="K10" t="s">
        <v>781</v>
      </c>
      <c r="L10" t="s">
        <v>782</v>
      </c>
    </row>
    <row r="11" ht="15" customHeight="1">
      <c r="B11" s="109" t="s">
        <v>783</v>
      </c>
      <c r="J11" s="92">
        <f t="shared" si="2" ref="J11:J49">SUM(J7:J10)</f>
        <v>332.271270036991</v>
      </c>
      <c r="K11" s="115"/>
      <c r="L11" s="115"/>
    </row>
    <row r="12" ht="18.75" customHeight="1">
      <c r="B12" s="52" t="s">
        <v>784</v>
      </c>
    </row>
    <row r="13" ht="15" customHeight="1">
      <c r="B13">
        <v>5</v>
      </c>
      <c r="C13" t="s">
        <v>785</v>
      </c>
      <c r="D13" t="s">
        <v>786</v>
      </c>
      <c r="E13">
        <v>16</v>
      </c>
      <c r="F13">
        <v>96</v>
      </c>
      <c r="G13">
        <v>6.85</v>
      </c>
      <c r="H13">
        <f t="shared" si="0"/>
        <v>657.6</v>
      </c>
      <c r="I13">
        <f t="shared" si="1"/>
        <v>1.57829839704069</v>
      </c>
      <c r="J13">
        <f t="shared" si="0"/>
        <v>1037.88902589396</v>
      </c>
      <c r="K13" t="s">
        <v>771</v>
      </c>
      <c r="L13" t="s">
        <v>787</v>
      </c>
    </row>
    <row r="14" ht="15" customHeight="1">
      <c r="B14">
        <v>6</v>
      </c>
      <c r="C14" t="s">
        <v>788</v>
      </c>
      <c r="D14" t="s">
        <v>789</v>
      </c>
      <c r="E14">
        <v>16</v>
      </c>
      <c r="F14">
        <v>24</v>
      </c>
      <c r="G14">
        <v>1</v>
      </c>
      <c r="H14">
        <f t="shared" si="0"/>
        <v>24</v>
      </c>
      <c r="I14">
        <f t="shared" si="1"/>
        <v>1.57829839704069</v>
      </c>
      <c r="J14">
        <f t="shared" si="0"/>
        <v>37.8791615289766</v>
      </c>
      <c r="K14" t="s">
        <v>771</v>
      </c>
      <c r="L14" t="s">
        <v>790</v>
      </c>
    </row>
    <row r="15" ht="15" customHeight="1">
      <c r="B15">
        <v>7</v>
      </c>
      <c r="C15" t="s">
        <v>791</v>
      </c>
      <c r="D15" t="s">
        <v>792</v>
      </c>
      <c r="E15">
        <v>8</v>
      </c>
      <c r="F15">
        <v>732</v>
      </c>
      <c r="G15">
        <v>1</v>
      </c>
      <c r="H15">
        <f t="shared" si="0"/>
        <v>732</v>
      </c>
      <c r="I15">
        <f t="shared" si="1"/>
        <v>0.394574599260173</v>
      </c>
      <c r="J15">
        <f t="shared" si="0"/>
        <v>288.828606658447</v>
      </c>
      <c r="K15" t="s">
        <v>793</v>
      </c>
      <c r="L15" t="s">
        <v>794</v>
      </c>
    </row>
    <row r="16" ht="15" customHeight="1">
      <c r="B16">
        <v>8</v>
      </c>
      <c r="C16" t="s">
        <v>795</v>
      </c>
      <c r="D16" t="s">
        <v>796</v>
      </c>
      <c r="E16">
        <v>8</v>
      </c>
      <c r="F16">
        <v>488</v>
      </c>
      <c r="G16">
        <v>1</v>
      </c>
      <c r="H16">
        <f t="shared" si="0"/>
        <v>488</v>
      </c>
      <c r="I16">
        <f t="shared" si="1"/>
        <v>0.394574599260173</v>
      </c>
      <c r="J16">
        <f t="shared" si="0"/>
        <v>192.552404438964</v>
      </c>
      <c r="K16" t="s">
        <v>793</v>
      </c>
      <c r="L16" t="s">
        <v>797</v>
      </c>
    </row>
    <row r="17" ht="15" customHeight="1">
      <c r="B17" s="109" t="s">
        <v>798</v>
      </c>
      <c r="J17" s="92">
        <f t="shared" si="2"/>
        <v>1557.14919852035</v>
      </c>
      <c r="K17" s="115"/>
      <c r="L17" s="115"/>
    </row>
    <row r="18" ht="18.75" customHeight="1">
      <c r="B18" s="52" t="s">
        <v>799</v>
      </c>
    </row>
    <row r="19" ht="15" customHeight="1">
      <c r="B19">
        <v>9</v>
      </c>
      <c r="C19" t="s">
        <v>800</v>
      </c>
      <c r="D19" t="s">
        <v>801</v>
      </c>
      <c r="E19">
        <v>12</v>
      </c>
      <c r="F19">
        <v>2</v>
      </c>
      <c r="G19">
        <v>45.5</v>
      </c>
      <c r="H19">
        <f t="shared" si="0"/>
        <v>91</v>
      </c>
      <c r="I19">
        <f t="shared" si="1"/>
        <v>0.887792848335389</v>
      </c>
      <c r="J19">
        <f t="shared" si="0"/>
        <v>80.7891491985204</v>
      </c>
      <c r="K19" t="s">
        <v>771</v>
      </c>
      <c r="L19" t="s">
        <v>802</v>
      </c>
    </row>
    <row r="20" ht="15" customHeight="1">
      <c r="B20">
        <v>10</v>
      </c>
      <c r="C20" t="s">
        <v>803</v>
      </c>
      <c r="D20" t="s">
        <v>804</v>
      </c>
      <c r="E20">
        <v>16</v>
      </c>
      <c r="F20">
        <v>2</v>
      </c>
      <c r="G20">
        <v>45.5</v>
      </c>
      <c r="H20">
        <f t="shared" si="0"/>
        <v>91</v>
      </c>
      <c r="I20">
        <f t="shared" si="1"/>
        <v>1.57829839704069</v>
      </c>
      <c r="J20">
        <f t="shared" si="0"/>
        <v>143.625154130703</v>
      </c>
      <c r="K20" t="s">
        <v>771</v>
      </c>
      <c r="L20" t="s">
        <v>802</v>
      </c>
    </row>
    <row r="21" ht="15" customHeight="1">
      <c r="B21">
        <v>11</v>
      </c>
      <c r="C21" t="s">
        <v>805</v>
      </c>
      <c r="D21" t="s">
        <v>806</v>
      </c>
      <c r="E21">
        <v>12</v>
      </c>
      <c r="F21">
        <v>4</v>
      </c>
      <c r="G21">
        <v>0.6</v>
      </c>
      <c r="H21">
        <f t="shared" si="0"/>
        <v>2.4</v>
      </c>
      <c r="I21">
        <f t="shared" si="1"/>
        <v>0.887792848335389</v>
      </c>
      <c r="J21">
        <f t="shared" si="0"/>
        <v>2.13070283600493</v>
      </c>
      <c r="K21" t="s">
        <v>771</v>
      </c>
      <c r="L21" t="s">
        <v>807</v>
      </c>
    </row>
    <row r="22" ht="15" customHeight="1">
      <c r="B22">
        <v>12</v>
      </c>
      <c r="C22" t="s">
        <v>808</v>
      </c>
      <c r="D22" t="s">
        <v>809</v>
      </c>
      <c r="E22">
        <v>8</v>
      </c>
      <c r="F22">
        <v>300</v>
      </c>
      <c r="G22">
        <v>1.05</v>
      </c>
      <c r="H22">
        <f t="shared" si="0"/>
        <v>315</v>
      </c>
      <c r="I22">
        <f t="shared" si="1"/>
        <v>0.394574599260173</v>
      </c>
      <c r="J22">
        <f t="shared" si="0"/>
        <v>124.290998766955</v>
      </c>
      <c r="K22" t="s">
        <v>793</v>
      </c>
      <c r="L22" t="s">
        <v>810</v>
      </c>
    </row>
    <row r="23" ht="15" customHeight="1">
      <c r="B23" s="109" t="s">
        <v>811</v>
      </c>
      <c r="J23" s="92">
        <f t="shared" si="2"/>
        <v>350.836004932183</v>
      </c>
      <c r="K23" s="115"/>
      <c r="L23" s="115"/>
    </row>
    <row r="24" ht="18.75" customHeight="1">
      <c r="B24" s="52" t="s">
        <v>812</v>
      </c>
    </row>
    <row r="25" ht="15" customHeight="1">
      <c r="B25">
        <v>13</v>
      </c>
      <c r="C25" t="s">
        <v>813</v>
      </c>
      <c r="D25" t="s">
        <v>814</v>
      </c>
      <c r="E25">
        <v>12</v>
      </c>
      <c r="F25">
        <v>2</v>
      </c>
      <c r="G25">
        <v>60.5</v>
      </c>
      <c r="H25">
        <f t="shared" si="0"/>
        <v>121</v>
      </c>
      <c r="I25">
        <f t="shared" si="1"/>
        <v>0.887792848335389</v>
      </c>
      <c r="J25">
        <f t="shared" si="0"/>
        <v>107.422934648582</v>
      </c>
      <c r="K25" t="s">
        <v>771</v>
      </c>
      <c r="L25" t="s">
        <v>815</v>
      </c>
    </row>
    <row r="26" ht="15" customHeight="1">
      <c r="B26">
        <v>14</v>
      </c>
      <c r="C26" t="s">
        <v>816</v>
      </c>
      <c r="D26" t="s">
        <v>817</v>
      </c>
      <c r="E26">
        <v>16</v>
      </c>
      <c r="F26">
        <v>2</v>
      </c>
      <c r="G26">
        <v>60.5</v>
      </c>
      <c r="H26">
        <f t="shared" si="0"/>
        <v>121</v>
      </c>
      <c r="I26">
        <f t="shared" si="1"/>
        <v>1.57829839704069</v>
      </c>
      <c r="J26">
        <f t="shared" si="0"/>
        <v>190.974106041924</v>
      </c>
      <c r="K26" t="s">
        <v>771</v>
      </c>
      <c r="L26" t="s">
        <v>815</v>
      </c>
    </row>
    <row r="27" ht="15" customHeight="1">
      <c r="B27">
        <v>15</v>
      </c>
      <c r="C27" t="s">
        <v>818</v>
      </c>
      <c r="D27" t="s">
        <v>819</v>
      </c>
      <c r="E27">
        <v>12</v>
      </c>
      <c r="F27">
        <v>2</v>
      </c>
      <c r="G27">
        <v>60.5</v>
      </c>
      <c r="H27">
        <f t="shared" si="0"/>
        <v>121</v>
      </c>
      <c r="I27">
        <f t="shared" si="1"/>
        <v>0.887792848335389</v>
      </c>
      <c r="J27">
        <f t="shared" si="0"/>
        <v>107.422934648582</v>
      </c>
      <c r="K27" t="s">
        <v>771</v>
      </c>
      <c r="L27" t="s">
        <v>820</v>
      </c>
    </row>
    <row r="28" ht="15" customHeight="1">
      <c r="B28">
        <v>16</v>
      </c>
      <c r="C28" t="s">
        <v>821</v>
      </c>
      <c r="D28" t="s">
        <v>822</v>
      </c>
      <c r="E28">
        <v>16</v>
      </c>
      <c r="F28">
        <v>2</v>
      </c>
      <c r="G28">
        <v>60.5</v>
      </c>
      <c r="H28">
        <f t="shared" si="0"/>
        <v>121</v>
      </c>
      <c r="I28">
        <f t="shared" si="1"/>
        <v>1.57829839704069</v>
      </c>
      <c r="J28">
        <f t="shared" si="0"/>
        <v>190.974106041924</v>
      </c>
      <c r="K28" t="s">
        <v>771</v>
      </c>
      <c r="L28" t="s">
        <v>820</v>
      </c>
    </row>
    <row r="29" ht="15" customHeight="1">
      <c r="B29">
        <v>17</v>
      </c>
      <c r="C29" t="s">
        <v>823</v>
      </c>
      <c r="D29" t="s">
        <v>824</v>
      </c>
      <c r="E29">
        <v>8</v>
      </c>
      <c r="F29">
        <v>800</v>
      </c>
      <c r="G29">
        <v>1.15</v>
      </c>
      <c r="H29">
        <f t="shared" si="0"/>
        <v>920</v>
      </c>
      <c r="I29">
        <f t="shared" si="1"/>
        <v>0.394574599260173</v>
      </c>
      <c r="J29">
        <f t="shared" si="0"/>
        <v>363.008631319359</v>
      </c>
      <c r="K29" t="s">
        <v>793</v>
      </c>
      <c r="L29" t="s">
        <v>810</v>
      </c>
    </row>
    <row r="30" ht="15" customHeight="1">
      <c r="B30" s="109" t="s">
        <v>825</v>
      </c>
      <c r="J30" s="92">
        <f>SUM(J25:J29)</f>
        <v>959.802712700371</v>
      </c>
      <c r="K30" s="115"/>
      <c r="L30" s="115"/>
    </row>
    <row r="31" ht="18.75" customHeight="1">
      <c r="B31" s="52" t="s">
        <v>826</v>
      </c>
    </row>
    <row r="32" ht="15" customHeight="1">
      <c r="B32">
        <v>18</v>
      </c>
      <c r="C32" t="s">
        <v>827</v>
      </c>
      <c r="D32" t="s">
        <v>828</v>
      </c>
      <c r="E32">
        <v>10</v>
      </c>
      <c r="F32">
        <v>122</v>
      </c>
      <c r="G32">
        <v>9.34</v>
      </c>
      <c r="H32">
        <f t="shared" si="0"/>
        <v>1139.48</v>
      </c>
      <c r="I32">
        <f t="shared" si="1"/>
        <v>0.61652281134402</v>
      </c>
      <c r="J32">
        <f t="shared" si="0"/>
        <v>702.515413070284</v>
      </c>
      <c r="K32" t="s">
        <v>771</v>
      </c>
      <c r="L32" t="s">
        <v>829</v>
      </c>
    </row>
    <row r="33" ht="15" customHeight="1">
      <c r="B33">
        <v>19</v>
      </c>
      <c r="C33" t="s">
        <v>830</v>
      </c>
      <c r="D33" t="s">
        <v>831</v>
      </c>
      <c r="E33">
        <v>8</v>
      </c>
      <c r="F33">
        <v>92</v>
      </c>
      <c r="G33">
        <v>12.39</v>
      </c>
      <c r="H33">
        <f t="shared" si="0"/>
        <v>1139.88</v>
      </c>
      <c r="I33">
        <f t="shared" si="1"/>
        <v>0.394574599260173</v>
      </c>
      <c r="J33">
        <f t="shared" si="0"/>
        <v>449.767694204686</v>
      </c>
      <c r="K33" t="s">
        <v>771</v>
      </c>
      <c r="L33" t="s">
        <v>810</v>
      </c>
    </row>
    <row r="34" ht="15" customHeight="1">
      <c r="B34">
        <v>20</v>
      </c>
      <c r="C34" t="s">
        <v>832</v>
      </c>
      <c r="D34" t="s">
        <v>833</v>
      </c>
      <c r="E34">
        <v>10</v>
      </c>
      <c r="F34">
        <v>80</v>
      </c>
      <c r="G34">
        <v>2</v>
      </c>
      <c r="H34">
        <f t="shared" si="0"/>
        <v>160</v>
      </c>
      <c r="I34">
        <f t="shared" si="1"/>
        <v>0.61652281134402</v>
      </c>
      <c r="J34">
        <f t="shared" si="0"/>
        <v>98.6436498150432</v>
      </c>
      <c r="K34" t="s">
        <v>771</v>
      </c>
      <c r="L34" t="s">
        <v>834</v>
      </c>
    </row>
    <row r="35" ht="15" customHeight="1">
      <c r="B35">
        <v>21</v>
      </c>
      <c r="C35" t="s">
        <v>835</v>
      </c>
      <c r="D35" t="s">
        <v>836</v>
      </c>
      <c r="E35">
        <v>10</v>
      </c>
      <c r="F35">
        <v>122</v>
      </c>
      <c r="G35">
        <v>9.34</v>
      </c>
      <c r="H35">
        <f t="shared" si="0"/>
        <v>1139.48</v>
      </c>
      <c r="I35">
        <f t="shared" si="1"/>
        <v>0.61652281134402</v>
      </c>
      <c r="J35">
        <f t="shared" si="0"/>
        <v>702.515413070284</v>
      </c>
      <c r="K35" t="s">
        <v>771</v>
      </c>
      <c r="L35" t="s">
        <v>829</v>
      </c>
    </row>
    <row r="36" ht="15" customHeight="1">
      <c r="B36">
        <v>22</v>
      </c>
      <c r="C36" t="s">
        <v>837</v>
      </c>
      <c r="D36" t="s">
        <v>838</v>
      </c>
      <c r="E36">
        <v>8</v>
      </c>
      <c r="F36">
        <v>92</v>
      </c>
      <c r="G36">
        <v>12.39</v>
      </c>
      <c r="H36">
        <f t="shared" si="0"/>
        <v>1139.88</v>
      </c>
      <c r="I36">
        <f t="shared" si="1"/>
        <v>0.394574599260173</v>
      </c>
      <c r="J36">
        <f t="shared" si="0"/>
        <v>449.767694204686</v>
      </c>
      <c r="K36" t="s">
        <v>771</v>
      </c>
      <c r="L36" t="s">
        <v>810</v>
      </c>
    </row>
    <row r="37" ht="15" customHeight="1">
      <c r="B37">
        <v>23</v>
      </c>
      <c r="C37" t="s">
        <v>839</v>
      </c>
      <c r="D37" t="s">
        <v>840</v>
      </c>
      <c r="E37">
        <v>10</v>
      </c>
      <c r="F37">
        <v>80</v>
      </c>
      <c r="G37">
        <v>2</v>
      </c>
      <c r="H37">
        <f t="shared" si="0"/>
        <v>160</v>
      </c>
      <c r="I37">
        <f t="shared" si="1"/>
        <v>0.61652281134402</v>
      </c>
      <c r="J37">
        <f t="shared" si="0"/>
        <v>98.6436498150432</v>
      </c>
      <c r="K37" t="s">
        <v>771</v>
      </c>
      <c r="L37" t="s">
        <v>834</v>
      </c>
    </row>
    <row r="38" ht="15" customHeight="1">
      <c r="B38" s="109" t="s">
        <v>841</v>
      </c>
      <c r="J38" s="92">
        <f>SUM(J32:J37)</f>
        <v>2501.85351418003</v>
      </c>
      <c r="K38" s="115"/>
      <c r="L38" s="115"/>
    </row>
    <row r="39" ht="18.75" customHeight="1">
      <c r="B39" s="52" t="s">
        <v>842</v>
      </c>
    </row>
    <row r="40" ht="15" customHeight="1">
      <c r="B40">
        <v>24</v>
      </c>
      <c r="C40" t="s">
        <v>843</v>
      </c>
      <c r="D40" t="s">
        <v>844</v>
      </c>
      <c r="E40">
        <v>12</v>
      </c>
      <c r="F40">
        <v>12</v>
      </c>
      <c r="G40">
        <v>5.2</v>
      </c>
      <c r="H40">
        <f t="shared" si="0"/>
        <v>62.4</v>
      </c>
      <c r="I40">
        <f t="shared" si="1"/>
        <v>0.887792848335389</v>
      </c>
      <c r="J40">
        <f t="shared" si="0"/>
        <v>55.3982737361283</v>
      </c>
      <c r="K40" t="s">
        <v>771</v>
      </c>
      <c r="L40" t="s">
        <v>810</v>
      </c>
    </row>
    <row r="41" ht="15" customHeight="1">
      <c r="B41">
        <v>25</v>
      </c>
      <c r="C41" t="s">
        <v>845</v>
      </c>
      <c r="D41" t="s">
        <v>846</v>
      </c>
      <c r="E41">
        <v>8</v>
      </c>
      <c r="F41">
        <v>22</v>
      </c>
      <c r="G41">
        <v>1.4</v>
      </c>
      <c r="H41">
        <f t="shared" si="0"/>
        <v>30.8</v>
      </c>
      <c r="I41">
        <f t="shared" si="1"/>
        <v>0.394574599260173</v>
      </c>
      <c r="J41">
        <f t="shared" si="0"/>
        <v>12.1528976572133</v>
      </c>
      <c r="K41" t="s">
        <v>771</v>
      </c>
      <c r="L41" t="s">
        <v>847</v>
      </c>
    </row>
    <row r="42" ht="15" customHeight="1">
      <c r="B42">
        <v>26</v>
      </c>
      <c r="C42" t="s">
        <v>848</v>
      </c>
      <c r="D42" t="s">
        <v>849</v>
      </c>
      <c r="E42">
        <v>8</v>
      </c>
      <c r="F42">
        <v>32</v>
      </c>
      <c r="G42">
        <v>1.2</v>
      </c>
      <c r="H42">
        <f t="shared" si="0"/>
        <v>38.4</v>
      </c>
      <c r="I42">
        <f t="shared" si="1"/>
        <v>0.394574599260173</v>
      </c>
      <c r="J42">
        <f t="shared" si="0"/>
        <v>15.1516646115906</v>
      </c>
      <c r="K42" t="s">
        <v>771</v>
      </c>
      <c r="L42" t="s">
        <v>850</v>
      </c>
    </row>
    <row r="43" ht="15" customHeight="1">
      <c r="B43" s="109" t="s">
        <v>851</v>
      </c>
      <c r="J43" s="92">
        <f>SUM(J40:J42)</f>
        <v>82.7028360049322</v>
      </c>
      <c r="K43" s="115"/>
      <c r="L43" s="115"/>
    </row>
    <row r="44" ht="18.75" customHeight="1">
      <c r="B44" s="52" t="s">
        <v>852</v>
      </c>
    </row>
    <row r="45" ht="15" customHeight="1">
      <c r="B45">
        <v>27</v>
      </c>
      <c r="C45" t="s">
        <v>853</v>
      </c>
      <c r="D45" t="s">
        <v>854</v>
      </c>
      <c r="E45">
        <v>10</v>
      </c>
      <c r="F45">
        <v>2</v>
      </c>
      <c r="G45">
        <v>50</v>
      </c>
      <c r="H45">
        <f t="shared" si="0"/>
        <v>100</v>
      </c>
      <c r="I45">
        <f t="shared" si="1"/>
        <v>0.61652281134402</v>
      </c>
      <c r="J45">
        <f t="shared" si="0"/>
        <v>61.652281134402</v>
      </c>
      <c r="K45" t="s">
        <v>771</v>
      </c>
      <c r="L45" t="s">
        <v>855</v>
      </c>
    </row>
    <row r="46" ht="15" customHeight="1">
      <c r="B46">
        <v>28</v>
      </c>
      <c r="C46" t="s">
        <v>856</v>
      </c>
      <c r="D46" t="s">
        <v>857</v>
      </c>
      <c r="E46">
        <v>10</v>
      </c>
      <c r="F46">
        <v>2</v>
      </c>
      <c r="G46">
        <v>50</v>
      </c>
      <c r="H46">
        <f t="shared" si="0"/>
        <v>100</v>
      </c>
      <c r="I46">
        <f t="shared" si="1"/>
        <v>0.61652281134402</v>
      </c>
      <c r="J46">
        <f t="shared" si="0"/>
        <v>61.652281134402</v>
      </c>
      <c r="K46" t="s">
        <v>771</v>
      </c>
      <c r="L46" t="s">
        <v>855</v>
      </c>
    </row>
    <row r="47" ht="15" customHeight="1">
      <c r="B47">
        <v>29</v>
      </c>
      <c r="C47" t="s">
        <v>858</v>
      </c>
      <c r="D47" t="s">
        <v>859</v>
      </c>
      <c r="E47">
        <v>6</v>
      </c>
      <c r="F47">
        <v>320</v>
      </c>
      <c r="G47">
        <v>0.75</v>
      </c>
      <c r="H47">
        <f t="shared" si="0"/>
        <v>240</v>
      </c>
      <c r="I47">
        <f t="shared" si="1"/>
        <v>0.221948212083847</v>
      </c>
      <c r="J47">
        <f t="shared" si="0"/>
        <v>53.2675709001233</v>
      </c>
      <c r="K47" t="s">
        <v>793</v>
      </c>
      <c r="L47" t="s">
        <v>810</v>
      </c>
    </row>
    <row r="48" ht="15" customHeight="1">
      <c r="B48">
        <v>30</v>
      </c>
      <c r="C48" t="s">
        <v>860</v>
      </c>
      <c r="D48" t="s">
        <v>861</v>
      </c>
      <c r="E48">
        <v>8</v>
      </c>
      <c r="F48">
        <v>60</v>
      </c>
      <c r="G48">
        <v>1.5</v>
      </c>
      <c r="H48">
        <f t="shared" si="0"/>
        <v>90</v>
      </c>
      <c r="I48">
        <f t="shared" si="1"/>
        <v>0.394574599260173</v>
      </c>
      <c r="J48">
        <f t="shared" si="0"/>
        <v>35.5117139334156</v>
      </c>
      <c r="K48" t="s">
        <v>771</v>
      </c>
      <c r="L48" t="s">
        <v>862</v>
      </c>
    </row>
    <row r="49" ht="15" customHeight="1">
      <c r="B49" s="109" t="s">
        <v>863</v>
      </c>
      <c r="J49" s="92">
        <f t="shared" si="2"/>
        <v>212.083847102343</v>
      </c>
      <c r="K49" s="115"/>
      <c r="L49" s="115"/>
    </row>
    <row r="51" ht="22.5" customHeight="1">
      <c r="B51" s="111" t="s">
        <v>864</v>
      </c>
    </row>
    <row r="52" ht="21" customHeight="1">
      <c r="B52" s="116" t="s">
        <v>169</v>
      </c>
      <c r="C52" s="116" t="s">
        <v>762</v>
      </c>
      <c r="D52" s="116" t="s">
        <v>765</v>
      </c>
      <c r="E52" s="116" t="s">
        <v>764</v>
      </c>
      <c r="G52" s="116" t="s">
        <v>865</v>
      </c>
      <c r="I52" s="116" t="s">
        <v>866</v>
      </c>
      <c r="J52" s="116" t="s">
        <v>867</v>
      </c>
    </row>
    <row r="53" ht="19.5" customHeight="1">
      <c r="B53" s="117">
        <v>1</v>
      </c>
      <c r="C53" s="118">
        <v>6</v>
      </c>
      <c r="D53" s="119">
        <f t="shared" si="3" ref="D53:D57">C53*C53/162.2</f>
        <v>0.221948212083847</v>
      </c>
      <c r="E53" s="120">
        <f t="shared" si="4" ref="E53:E57">SUMIF($E$7:$E$48,C53,$H$7:$H$48)</f>
        <v>240</v>
      </c>
      <c r="G53" s="121">
        <f t="shared" si="5" ref="G53:G57">SUMIF($E$7:$E$48,C53,$J$7:$J$48)</f>
        <v>53.2675709001233</v>
      </c>
      <c r="I53" s="122">
        <f t="shared" si="6" ref="I53:I57">G53/$G$58</f>
        <v>0.00888281494431625</v>
      </c>
      <c r="J53" s="123" t="s">
        <v>868</v>
      </c>
    </row>
    <row r="54" ht="19.5" customHeight="1">
      <c r="B54" s="124">
        <v>2</v>
      </c>
      <c r="C54" s="125">
        <v>8</v>
      </c>
      <c r="D54" s="126">
        <f t="shared" si="3"/>
        <v>0.394574599260173</v>
      </c>
      <c r="E54" s="127">
        <f t="shared" si="4"/>
        <v>4893.96</v>
      </c>
      <c r="G54" s="121">
        <f t="shared" si="5"/>
        <v>1931.03230579532</v>
      </c>
      <c r="I54" s="128">
        <f t="shared" si="6"/>
        <v>0.322015859443601</v>
      </c>
      <c r="J54" s="129" t="s">
        <v>869</v>
      </c>
    </row>
    <row r="55" ht="19.5" customHeight="1">
      <c r="B55" s="117">
        <v>3</v>
      </c>
      <c r="C55" s="118">
        <v>10</v>
      </c>
      <c r="D55" s="119">
        <f t="shared" si="3"/>
        <v>0.61652281134402</v>
      </c>
      <c r="E55" s="120">
        <f t="shared" si="4"/>
        <v>2909.36</v>
      </c>
      <c r="G55" s="121">
        <f t="shared" si="5"/>
        <v>1793.68680641184</v>
      </c>
      <c r="I55" s="122">
        <f t="shared" si="6"/>
        <v>0.299112343592546</v>
      </c>
      <c r="J55" s="123" t="s">
        <v>870</v>
      </c>
    </row>
    <row r="56" ht="19.5" customHeight="1">
      <c r="B56" s="124">
        <v>4</v>
      </c>
      <c r="C56" s="125">
        <v>12</v>
      </c>
      <c r="D56" s="126">
        <f t="shared" si="3"/>
        <v>0.887792848335389</v>
      </c>
      <c r="E56" s="127">
        <f t="shared" si="4"/>
        <v>618.6</v>
      </c>
      <c r="G56" s="121">
        <f t="shared" si="5"/>
        <v>549.188655980271</v>
      </c>
      <c r="I56" s="128">
        <f t="shared" si="6"/>
        <v>0.0915818220759005</v>
      </c>
      <c r="J56" s="129" t="s">
        <v>871</v>
      </c>
    </row>
    <row r="57" ht="19.5" customHeight="1">
      <c r="B57" s="117">
        <v>5</v>
      </c>
      <c r="C57" s="118">
        <v>16</v>
      </c>
      <c r="D57" s="119">
        <f t="shared" si="3"/>
        <v>1.57829839704069</v>
      </c>
      <c r="E57" s="120">
        <f t="shared" si="4"/>
        <v>1057.8</v>
      </c>
      <c r="G57" s="121">
        <f t="shared" si="5"/>
        <v>1669.52404438965</v>
      </c>
      <c r="I57" s="122">
        <f t="shared" si="6"/>
        <v>0.278407159943638</v>
      </c>
      <c r="J57" s="123" t="s">
        <v>872</v>
      </c>
    </row>
    <row r="58" ht="24" customHeight="1">
      <c r="B58" s="130" t="s">
        <v>873</v>
      </c>
      <c r="G58" s="108">
        <f>SUM(G53:G57)</f>
        <v>5996.6993834772</v>
      </c>
      <c r="I58" s="131">
        <v>1</v>
      </c>
      <c r="J58" s="132"/>
    </row>
    <row r="59" ht="15" customHeight="1">
      <c r="B59" s="133" t="s">
        <v>874</v>
      </c>
      <c r="G59" s="134">
        <f>G58*0.03</f>
        <v>179.900981504316</v>
      </c>
      <c r="I59" s="135"/>
      <c r="J59" s="136" t="s">
        <v>875</v>
      </c>
    </row>
    <row r="60" ht="22.5" customHeight="1">
      <c r="B60" s="137" t="s">
        <v>876</v>
      </c>
      <c r="G60" s="138">
        <f>G58+G59</f>
        <v>6176.60036498152</v>
      </c>
      <c r="I60" s="139"/>
      <c r="J60" s="140" t="s">
        <v>877</v>
      </c>
    </row>
    <row r="61" ht="22.5" customHeight="1">
      <c r="B61" s="137" t="s">
        <v>878</v>
      </c>
      <c r="G61" s="141">
        <f>G60/1000</f>
        <v>6.17660036498152</v>
      </c>
      <c r="I61" s="139"/>
      <c r="J61" s="140" t="s">
        <v>879</v>
      </c>
    </row>
    <row r="63" ht="21" customHeight="1">
      <c r="B63" s="142" t="s">
        <v>880</v>
      </c>
    </row>
    <row r="64" ht="15" customHeight="1">
      <c r="B64" s="143" t="s">
        <v>881</v>
      </c>
      <c r="G64" s="144">
        <f>G61</f>
        <v>6.17660036498152</v>
      </c>
      <c r="I64" s="145"/>
      <c r="J64" s="146" t="s">
        <v>882</v>
      </c>
    </row>
    <row r="65" ht="15" customHeight="1">
      <c r="B65" s="143" t="s">
        <v>883</v>
      </c>
      <c r="G65" s="147">
        <v>78500</v>
      </c>
      <c r="I65" s="145"/>
      <c r="J65" s="146" t="s">
        <v>884</v>
      </c>
    </row>
    <row r="66" ht="15" customHeight="1">
      <c r="B66" s="143" t="s">
        <v>885</v>
      </c>
      <c r="G66" s="147">
        <f>G64*G65</f>
        <v>484863.128651049</v>
      </c>
      <c r="I66" s="145"/>
      <c r="J66" s="146" t="s">
        <v>886</v>
      </c>
    </row>
    <row r="67" ht="15" customHeight="1">
      <c r="B67" s="143" t="s">
        <v>887</v>
      </c>
      <c r="G67" s="147">
        <v>3500</v>
      </c>
      <c r="I67" s="145"/>
      <c r="J67" s="146" t="s">
        <v>888</v>
      </c>
    </row>
    <row r="68" ht="15" customHeight="1">
      <c r="B68" s="143" t="s">
        <v>889</v>
      </c>
      <c r="G68" s="147">
        <f>G64*G67</f>
        <v>21618.1012774353</v>
      </c>
      <c r="I68" s="145"/>
      <c r="J68" s="146" t="s">
        <v>890</v>
      </c>
    </row>
    <row r="69" ht="22.5" customHeight="1">
      <c r="B69" s="148" t="s">
        <v>891</v>
      </c>
      <c r="G69" s="108">
        <f>G66+G68</f>
        <v>506481.229928484</v>
      </c>
      <c r="I69" s="149"/>
      <c r="J69" s="150" t="s">
        <v>879</v>
      </c>
    </row>
    <row r="71" ht="18" customHeight="1">
      <c r="B71" s="151" t="s">
        <v>892</v>
      </c>
    </row>
    <row r="72" ht="16.5" customHeight="1">
      <c r="B72" s="152" t="s">
        <v>893</v>
      </c>
    </row>
    <row r="73" ht="16.5" customHeight="1">
      <c r="B73" s="152" t="s">
        <v>894</v>
      </c>
    </row>
    <row r="74" ht="16.5" customHeight="1">
      <c r="B74" s="152" t="s">
        <v>895</v>
      </c>
    </row>
    <row r="75" ht="16.5" customHeight="1">
      <c r="B75" s="152" t="s">
        <v>896</v>
      </c>
    </row>
    <row r="76" ht="16.5" customHeight="1">
      <c r="B76" s="152" t="s">
        <v>897</v>
      </c>
    </row>
    <row r="77" ht="16.5" customHeight="1">
      <c r="B77" s="152" t="s">
        <v>898</v>
      </c>
    </row>
    <row r="78" ht="16.5" customHeight="1">
      <c r="B78" s="152" t="s">
        <v>899</v>
      </c>
    </row>
  </sheetData>
  <mergeCells>
    <mergeCell ref="B1:L1"/>
    <mergeCell ref="B2:L2"/>
    <mergeCell ref="B3:L3"/>
    <mergeCell ref="B6:L6"/>
    <mergeCell ref="B11:I11"/>
    <mergeCell ref="B12:L12"/>
    <mergeCell ref="B17:I17"/>
    <mergeCell ref="B18:L18"/>
    <mergeCell ref="B23:I23"/>
    <mergeCell ref="B24:L24"/>
    <mergeCell ref="B30:I30"/>
    <mergeCell ref="B31:L31"/>
    <mergeCell ref="B38:I38"/>
    <mergeCell ref="B39:L39"/>
    <mergeCell ref="B43:I43"/>
    <mergeCell ref="B44:L44"/>
    <mergeCell ref="B49:I49"/>
    <mergeCell ref="B51:L51"/>
    <mergeCell ref="E52:F52"/>
    <mergeCell ref="G52:H52"/>
    <mergeCell ref="J52:L52"/>
    <mergeCell ref="E53:F53"/>
    <mergeCell ref="G53:H53"/>
    <mergeCell ref="J53:L53"/>
    <mergeCell ref="E54:F54"/>
    <mergeCell ref="G54:H54"/>
    <mergeCell ref="J54:L54"/>
    <mergeCell ref="E55:F55"/>
    <mergeCell ref="G55:H55"/>
    <mergeCell ref="J55:L55"/>
    <mergeCell ref="E56:F56"/>
    <mergeCell ref="G56:H56"/>
    <mergeCell ref="J56:L56"/>
    <mergeCell ref="E57:F57"/>
    <mergeCell ref="G57:H57"/>
    <mergeCell ref="J57:L57"/>
    <mergeCell ref="B58:F58"/>
    <mergeCell ref="G58:H58"/>
    <mergeCell ref="J58:L58"/>
    <mergeCell ref="B59:F59"/>
    <mergeCell ref="G59:H59"/>
    <mergeCell ref="J59:L59"/>
    <mergeCell ref="B60:F60"/>
    <mergeCell ref="G60:H60"/>
    <mergeCell ref="J60:L60"/>
    <mergeCell ref="B61:F61"/>
    <mergeCell ref="G61:H61"/>
    <mergeCell ref="J61:L61"/>
    <mergeCell ref="B63:L63"/>
    <mergeCell ref="B64:F64"/>
    <mergeCell ref="G64:H64"/>
    <mergeCell ref="J64:L64"/>
    <mergeCell ref="B65:F65"/>
    <mergeCell ref="G65:H65"/>
    <mergeCell ref="J65:L65"/>
    <mergeCell ref="B66:F66"/>
    <mergeCell ref="G66:H66"/>
    <mergeCell ref="J66:L66"/>
    <mergeCell ref="B67:F67"/>
    <mergeCell ref="G67:H67"/>
    <mergeCell ref="J67:L67"/>
    <mergeCell ref="B68:F68"/>
    <mergeCell ref="G68:H68"/>
    <mergeCell ref="J68:L68"/>
    <mergeCell ref="B69:F69"/>
    <mergeCell ref="G69:H69"/>
    <mergeCell ref="J69:L69"/>
    <mergeCell ref="B71:L71"/>
    <mergeCell ref="B72:L72"/>
    <mergeCell ref="B73:L73"/>
    <mergeCell ref="B74:L74"/>
    <mergeCell ref="B75:L75"/>
    <mergeCell ref="B76:L76"/>
    <mergeCell ref="B77:L77"/>
    <mergeCell ref="B78:L78"/>
  </mergeCells>
  <printOptions/>
  <pageMargins left="0.7" right="0.7" top="0.75" bottom="0.75" header="0.3" footer="0.3"/>
  <pageSetup paperSize="1" orientation="portrait"/>
  <headerFooter>
    <oddHeader>&amp;L&amp;C&amp;R</oddHeader>
    <oddFooter>&amp;L&amp;C&amp;R</oddFooter>
  </headerFooter>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536BAEA8-0BD8-FC4E-F791-DC0D9D01F068}" mc:Ignorable="x14ac xr xr2 xr3">
  <dimension ref="A1:GR1000"/>
  <sheetViews>
    <sheetView topLeftCell="A1" workbookViewId="0">
      <pane ySplit="6" topLeftCell="A7" activePane="bottomLeft" state="frozen"/>
      <selection pane="bottomLeft" activeCell="A1" sqref="A1"/>
    </sheetView>
  </sheetViews>
  <sheetFormatPr defaultRowHeight="15" defaultColWidth="8.8515625" customHeight="1"/>
  <cols>
    <col min="1" max="1" width="4.28125" customWidth="1"/>
    <col min="2" max="2" width="8.57421875" customWidth="1"/>
    <col min="3" max="3" width="11.421875" customWidth="1"/>
    <col min="4" max="4" width="48.57421875" customWidth="1"/>
    <col min="5" max="5" width="11.421875" customWidth="1"/>
    <col min="6" max="6" width="18.57421875" customWidth="1"/>
    <col min="7" max="7" width="12.8515625" customWidth="1"/>
    <col min="8" max="8" width="25.7109375" customWidth="1"/>
  </cols>
  <sheetData>
    <row r="1" ht="30" customHeight="1">
      <c r="B1" s="31" t="s">
        <v>900</v>
      </c>
    </row>
    <row r="2" ht="16.5" customHeight="1">
      <c r="B2" s="32" t="s">
        <v>901</v>
      </c>
    </row>
    <row r="3" ht="15" customHeight="1">
      <c r="B3" s="153" t="s">
        <v>21</v>
      </c>
      <c r="D3" s="154">
        <f>Project_Info!C9</f>
        <v>1800</v>
      </c>
      <c r="E3" s="155" t="s">
        <v>902</v>
      </c>
      <c r="F3" s="156">
        <f>Project_Info!C10</f>
        <v>167.22</v>
      </c>
      <c r="G3" s="155" t="s">
        <v>903</v>
      </c>
    </row>
    <row r="4" ht="15" customHeight="1">
      <c r="B4" s="153" t="s">
        <v>167</v>
      </c>
      <c r="D4" s="153" t="str">
        <f>Project_Info!C35</f>
        <v>Market</v>
      </c>
      <c r="F4" s="157" t="s">
        <v>904</v>
      </c>
    </row>
    <row r="6" ht="24" customHeight="1">
      <c r="B6" s="158" t="s">
        <v>169</v>
      </c>
      <c r="C6" s="158" t="s">
        <v>549</v>
      </c>
      <c r="D6" s="158" t="s">
        <v>905</v>
      </c>
      <c r="E6" s="158" t="s">
        <v>60</v>
      </c>
      <c r="F6" s="158" t="s">
        <v>383</v>
      </c>
      <c r="G6" s="158" t="s">
        <v>906</v>
      </c>
      <c r="H6" s="158" t="s">
        <v>61</v>
      </c>
    </row>
    <row r="7" ht="19.5" customHeight="1">
      <c r="B7" s="52" t="s">
        <v>907</v>
      </c>
    </row>
    <row r="8" ht="19.5" customHeight="1">
      <c r="B8" s="159">
        <v>1</v>
      </c>
      <c r="C8" s="160" t="s">
        <v>908</v>
      </c>
      <c r="D8" s="43" t="s">
        <v>909</v>
      </c>
      <c r="E8" s="42" t="s">
        <v>527</v>
      </c>
      <c r="F8" s="161">
        <f>BOQ!H12</f>
        <v>37044.25</v>
      </c>
      <c r="G8" s="162">
        <f t="shared" si="0" ref="G8:G32">F8/$F$18</f>
        <v>0.0130830486681076</v>
      </c>
      <c r="H8" s="123" t="s">
        <v>910</v>
      </c>
    </row>
    <row r="9" ht="19.5" customHeight="1">
      <c r="B9" s="163">
        <v>2</v>
      </c>
      <c r="C9" s="164" t="s">
        <v>911</v>
      </c>
      <c r="D9" s="38" t="s">
        <v>912</v>
      </c>
      <c r="E9" s="37" t="s">
        <v>527</v>
      </c>
      <c r="F9" s="161">
        <f>BOQ!H21</f>
        <v>441200</v>
      </c>
      <c r="G9" s="165">
        <f t="shared" si="0"/>
        <v>0.155820162977225</v>
      </c>
      <c r="H9" s="129" t="s">
        <v>913</v>
      </c>
    </row>
    <row r="10" ht="19.5" customHeight="1">
      <c r="B10" s="159">
        <v>3</v>
      </c>
      <c r="C10" s="160" t="s">
        <v>914</v>
      </c>
      <c r="D10" s="43" t="s">
        <v>915</v>
      </c>
      <c r="E10" s="42" t="s">
        <v>527</v>
      </c>
      <c r="F10" s="161">
        <f>BOQ!H29</f>
        <v>155100</v>
      </c>
      <c r="G10" s="162">
        <f t="shared" si="0"/>
        <v>0.054777215044804</v>
      </c>
      <c r="H10" s="123" t="s">
        <v>916</v>
      </c>
    </row>
    <row r="11" ht="19.5" customHeight="1">
      <c r="B11" s="163">
        <v>4</v>
      </c>
      <c r="C11" s="164" t="s">
        <v>917</v>
      </c>
      <c r="D11" s="38" t="s">
        <v>918</v>
      </c>
      <c r="E11" s="37" t="s">
        <v>527</v>
      </c>
      <c r="F11" s="161">
        <f>BOQ!H34</f>
        <v>416380</v>
      </c>
      <c r="G11" s="165">
        <f t="shared" si="0"/>
        <v>0.147054395875922</v>
      </c>
      <c r="H11" s="129" t="s">
        <v>919</v>
      </c>
    </row>
    <row r="12" ht="19.5" customHeight="1">
      <c r="B12" s="159">
        <v>5</v>
      </c>
      <c r="C12" s="160" t="s">
        <v>920</v>
      </c>
      <c r="D12" s="43" t="s">
        <v>921</v>
      </c>
      <c r="E12" s="42" t="s">
        <v>527</v>
      </c>
      <c r="F12" s="161">
        <f>BOQ!H40</f>
        <v>328350</v>
      </c>
      <c r="G12" s="162">
        <f t="shared" si="0"/>
        <v>0.115964529722511</v>
      </c>
      <c r="H12" s="123" t="s">
        <v>922</v>
      </c>
    </row>
    <row r="13" ht="19.5" customHeight="1">
      <c r="B13" s="163">
        <v>6</v>
      </c>
      <c r="C13" s="164" t="s">
        <v>923</v>
      </c>
      <c r="D13" s="38" t="s">
        <v>924</v>
      </c>
      <c r="E13" s="37" t="s">
        <v>527</v>
      </c>
      <c r="F13" s="161">
        <f>BOQ!H49</f>
        <v>364500</v>
      </c>
      <c r="G13" s="165">
        <f t="shared" si="0"/>
        <v>0.128731752958292</v>
      </c>
      <c r="H13" s="129" t="s">
        <v>925</v>
      </c>
    </row>
    <row r="14" ht="19.5" customHeight="1">
      <c r="B14" s="159">
        <v>7</v>
      </c>
      <c r="C14" s="160" t="s">
        <v>926</v>
      </c>
      <c r="D14" s="43" t="s">
        <v>927</v>
      </c>
      <c r="E14" s="42" t="s">
        <v>527</v>
      </c>
      <c r="F14" s="161">
        <f>BOQ!H57</f>
        <v>279350</v>
      </c>
      <c r="G14" s="162">
        <f t="shared" si="0"/>
        <v>0.0986590265813411</v>
      </c>
      <c r="H14" s="123" t="s">
        <v>928</v>
      </c>
    </row>
    <row r="15" ht="19.5" customHeight="1">
      <c r="B15" s="163">
        <v>8</v>
      </c>
      <c r="C15" s="164" t="s">
        <v>929</v>
      </c>
      <c r="D15" s="38" t="s">
        <v>930</v>
      </c>
      <c r="E15" s="37" t="s">
        <v>527</v>
      </c>
      <c r="F15" s="161">
        <f>BOQ!H63</f>
        <v>179140</v>
      </c>
      <c r="G15" s="165">
        <f t="shared" si="0"/>
        <v>0.0632675067899819</v>
      </c>
      <c r="H15" s="129" t="s">
        <v>931</v>
      </c>
    </row>
    <row r="16" ht="19.5" customHeight="1">
      <c r="B16" s="159">
        <v>9</v>
      </c>
      <c r="C16" s="160" t="s">
        <v>932</v>
      </c>
      <c r="D16" s="43" t="s">
        <v>933</v>
      </c>
      <c r="E16" s="42" t="s">
        <v>527</v>
      </c>
      <c r="F16" s="161">
        <f>BOQ!H71</f>
        <v>180905</v>
      </c>
      <c r="G16" s="162">
        <f t="shared" si="0"/>
        <v>0.0638908580765975</v>
      </c>
      <c r="H16" s="123" t="s">
        <v>934</v>
      </c>
    </row>
    <row r="17" ht="19.5" customHeight="1">
      <c r="B17" s="163">
        <v>10</v>
      </c>
      <c r="C17" s="164" t="s">
        <v>935</v>
      </c>
      <c r="D17" s="38" t="s">
        <v>936</v>
      </c>
      <c r="E17" s="37" t="s">
        <v>527</v>
      </c>
      <c r="F17" s="161">
        <f>BOQ!H80</f>
        <v>449500</v>
      </c>
      <c r="G17" s="165">
        <f t="shared" si="0"/>
        <v>0.158751503305219</v>
      </c>
      <c r="H17" s="129" t="s">
        <v>937</v>
      </c>
    </row>
    <row r="18" ht="24" customHeight="1">
      <c r="B18" s="107" t="s">
        <v>938</v>
      </c>
      <c r="F18" s="108">
        <f t="shared" si="1" ref="F18:G18">SUM(F8:F17)</f>
        <v>2831469.25</v>
      </c>
      <c r="G18" s="166">
        <f t="shared" si="1"/>
        <v>1</v>
      </c>
      <c r="H18" s="167" t="e">
        <f>BOQ Grand Total</f>
        <v>#NAME?</v>
      </c>
    </row>
    <row r="20" ht="19.5" customHeight="1">
      <c r="B20" s="52" t="s">
        <v>939</v>
      </c>
    </row>
    <row r="21" ht="19.5" customHeight="1">
      <c r="B21" s="159">
        <v>11</v>
      </c>
      <c r="C21" s="160" t="s">
        <v>940</v>
      </c>
      <c r="D21" s="43" t="s">
        <v>941</v>
      </c>
      <c r="E21" s="42" t="s">
        <v>100</v>
      </c>
      <c r="F21" s="161">
        <f>F18*Project_Info!C22</f>
        <v>141573.4625</v>
      </c>
      <c r="G21" s="162">
        <f t="shared" si="0"/>
        <v>0.05</v>
      </c>
      <c r="H21" s="123" t="s">
        <v>103</v>
      </c>
    </row>
    <row r="22" ht="19.5" customHeight="1">
      <c r="B22" s="163">
        <v>12</v>
      </c>
      <c r="C22" s="164" t="s">
        <v>940</v>
      </c>
      <c r="D22" s="38" t="s">
        <v>942</v>
      </c>
      <c r="E22" s="37" t="s">
        <v>527</v>
      </c>
      <c r="F22" s="161">
        <v>25000</v>
      </c>
      <c r="G22" s="165">
        <f t="shared" si="0"/>
        <v>0.0088293383373314</v>
      </c>
      <c r="H22" s="129" t="s">
        <v>943</v>
      </c>
    </row>
    <row r="23" ht="19.5" customHeight="1">
      <c r="B23" s="159">
        <v>13</v>
      </c>
      <c r="C23" s="160" t="s">
        <v>940</v>
      </c>
      <c r="D23" s="43" t="s">
        <v>944</v>
      </c>
      <c r="E23" s="42" t="s">
        <v>527</v>
      </c>
      <c r="F23" s="161">
        <v>35000</v>
      </c>
      <c r="G23" s="162">
        <f t="shared" si="0"/>
        <v>0.012361073672264</v>
      </c>
      <c r="H23" s="123" t="s">
        <v>945</v>
      </c>
    </row>
    <row r="24" ht="19.5" customHeight="1">
      <c r="B24" s="163">
        <v>14</v>
      </c>
      <c r="C24" s="164" t="s">
        <v>940</v>
      </c>
      <c r="D24" s="38" t="s">
        <v>946</v>
      </c>
      <c r="E24" s="37" t="s">
        <v>527</v>
      </c>
      <c r="F24" s="161">
        <v>15000</v>
      </c>
      <c r="G24" s="165">
        <f t="shared" si="0"/>
        <v>0.00529760300239884</v>
      </c>
      <c r="H24" s="129" t="s">
        <v>947</v>
      </c>
    </row>
    <row r="25" ht="19.5" customHeight="1">
      <c r="B25" s="159">
        <v>15</v>
      </c>
      <c r="C25" s="160" t="s">
        <v>940</v>
      </c>
      <c r="D25" s="43" t="s">
        <v>948</v>
      </c>
      <c r="E25" s="42" t="s">
        <v>527</v>
      </c>
      <c r="F25" s="161">
        <v>18000</v>
      </c>
      <c r="G25" s="162">
        <f t="shared" si="0"/>
        <v>0.00635712360287861</v>
      </c>
      <c r="H25" s="123" t="s">
        <v>949</v>
      </c>
    </row>
    <row r="26" ht="24" customHeight="1">
      <c r="B26" s="107" t="s">
        <v>950</v>
      </c>
      <c r="F26" s="108">
        <f>SUM(F21:F25)</f>
        <v>234573.4625</v>
      </c>
      <c r="G26" s="166">
        <f>F26/F18</f>
        <v>0.0828451386148728</v>
      </c>
      <c r="H26" s="167"/>
    </row>
    <row r="28" ht="26.25" customHeight="1">
      <c r="B28" s="168" t="s">
        <v>951</v>
      </c>
      <c r="F28" s="169">
        <f>F18+F26</f>
        <v>3066042.7125</v>
      </c>
      <c r="G28" s="168"/>
      <c r="H28" s="170" t="s">
        <v>952</v>
      </c>
    </row>
    <row r="30" ht="19.5" customHeight="1">
      <c r="B30" s="52" t="s">
        <v>953</v>
      </c>
    </row>
    <row r="31" ht="19.5" customHeight="1">
      <c r="B31" s="159">
        <v>16</v>
      </c>
      <c r="C31" s="160" t="s">
        <v>940</v>
      </c>
      <c r="D31" s="43" t="s">
        <v>954</v>
      </c>
      <c r="E31" s="42" t="s">
        <v>100</v>
      </c>
      <c r="F31" s="161">
        <f>F28*0.09</f>
        <v>275943.844125</v>
      </c>
      <c r="G31" s="162">
        <f t="shared" si="0"/>
        <v>0.0974560624753386</v>
      </c>
      <c r="H31" s="123" t="s">
        <v>955</v>
      </c>
    </row>
    <row r="32" ht="19.5" customHeight="1">
      <c r="B32" s="163">
        <v>17</v>
      </c>
      <c r="C32" s="164" t="s">
        <v>940</v>
      </c>
      <c r="D32" s="38" t="s">
        <v>956</v>
      </c>
      <c r="E32" s="37" t="s">
        <v>100</v>
      </c>
      <c r="F32" s="161">
        <f>F28*0.09</f>
        <v>275943.844125</v>
      </c>
      <c r="G32" s="165">
        <f t="shared" si="0"/>
        <v>0.0974560624753386</v>
      </c>
      <c r="H32" s="129" t="s">
        <v>957</v>
      </c>
    </row>
    <row r="33" ht="22.5" customHeight="1">
      <c r="B33" s="130" t="s">
        <v>958</v>
      </c>
      <c r="F33" s="108">
        <f>F31+F32</f>
        <v>551887.68825</v>
      </c>
      <c r="G33" s="166">
        <f>F33/F18</f>
        <v>0.194912124950677</v>
      </c>
      <c r="H33" s="167" t="s">
        <v>959</v>
      </c>
    </row>
    <row r="35" ht="33.75" customHeight="1">
      <c r="B35" s="171" t="s">
        <v>960</v>
      </c>
      <c r="F35" s="172">
        <f>F28+F33</f>
        <v>3617930.40075</v>
      </c>
      <c r="G35" s="171"/>
      <c r="H35" s="173" t="s">
        <v>961</v>
      </c>
    </row>
    <row r="36" ht="19.5" customHeight="1">
      <c r="B36" s="109" t="s">
        <v>962</v>
      </c>
      <c r="F36" s="174" t="s">
        <v>963</v>
      </c>
    </row>
    <row r="38" ht="22.5" customHeight="1">
      <c r="B38" s="142" t="s">
        <v>964</v>
      </c>
    </row>
    <row r="39" ht="19.5" customHeight="1">
      <c r="B39" s="175" t="s">
        <v>169</v>
      </c>
      <c r="C39" s="175" t="s">
        <v>965</v>
      </c>
      <c r="F39" s="175" t="s">
        <v>59</v>
      </c>
      <c r="G39" s="175" t="s">
        <v>966</v>
      </c>
    </row>
    <row r="40" ht="19.5" customHeight="1">
      <c r="B40" s="159">
        <v>1</v>
      </c>
      <c r="C40" s="43" t="s">
        <v>967</v>
      </c>
      <c r="F40" s="176">
        <f>F18/Project_Info!C9</f>
        <v>1573.03847222222</v>
      </c>
      <c r="G40" s="123" t="s">
        <v>968</v>
      </c>
    </row>
    <row r="41" ht="19.5" customHeight="1">
      <c r="B41" s="163">
        <v>2</v>
      </c>
      <c r="C41" s="38" t="s">
        <v>969</v>
      </c>
      <c r="F41" s="177">
        <f>F18/Project_Info!C10</f>
        <v>16932.5992704222</v>
      </c>
      <c r="G41" s="129" t="s">
        <v>970</v>
      </c>
    </row>
    <row r="42" ht="19.5" customHeight="1">
      <c r="B42" s="159">
        <v>3</v>
      </c>
      <c r="C42" s="43" t="s">
        <v>971</v>
      </c>
      <c r="F42" s="176">
        <f>F35/Project_Info!C9</f>
        <v>2009.96133375</v>
      </c>
      <c r="G42" s="123" t="s">
        <v>972</v>
      </c>
    </row>
    <row r="43" ht="19.5" customHeight="1">
      <c r="B43" s="163">
        <v>4</v>
      </c>
      <c r="C43" s="38" t="s">
        <v>973</v>
      </c>
      <c r="F43" s="178">
        <f>BBS!G60/Project_Info!C9</f>
        <v>3.43144464721196</v>
      </c>
      <c r="G43" s="129" t="s">
        <v>974</v>
      </c>
    </row>
    <row r="44" ht="19.5" customHeight="1">
      <c r="B44" s="159">
        <v>5</v>
      </c>
      <c r="C44" s="43" t="s">
        <v>881</v>
      </c>
      <c r="F44" s="179">
        <f>BBS!G61</f>
        <v>6.17660036498152</v>
      </c>
      <c r="G44" s="123" t="s">
        <v>919</v>
      </c>
    </row>
    <row r="45" ht="19.5" customHeight="1">
      <c r="B45" s="163">
        <v>6</v>
      </c>
      <c r="C45" s="38" t="s">
        <v>975</v>
      </c>
      <c r="F45" s="161">
        <v>8</v>
      </c>
      <c r="G45" s="129" t="s">
        <v>976</v>
      </c>
    </row>
    <row r="47" ht="22.5" customHeight="1">
      <c r="B47" s="142" t="s">
        <v>977</v>
      </c>
    </row>
    <row r="48" ht="19.5" customHeight="1">
      <c r="B48" s="175" t="s">
        <v>169</v>
      </c>
      <c r="C48" s="175" t="s">
        <v>978</v>
      </c>
      <c r="E48" s="175" t="s">
        <v>979</v>
      </c>
      <c r="F48" s="175" t="s">
        <v>383</v>
      </c>
      <c r="G48" s="175" t="s">
        <v>620</v>
      </c>
    </row>
    <row r="49" ht="19.5" customHeight="1">
      <c r="B49" s="159">
        <v>1</v>
      </c>
      <c r="C49" s="43" t="s">
        <v>980</v>
      </c>
      <c r="E49" s="180">
        <v>0.55</v>
      </c>
      <c r="F49" s="161">
        <f>F18*E49</f>
        <v>1557308.0875</v>
      </c>
      <c r="G49" s="123" t="s">
        <v>981</v>
      </c>
    </row>
    <row r="50" ht="19.5" customHeight="1">
      <c r="B50" s="163">
        <v>2</v>
      </c>
      <c r="C50" s="38" t="s">
        <v>982</v>
      </c>
      <c r="E50" s="181">
        <v>0.25</v>
      </c>
      <c r="F50" s="161">
        <f>F18*E50</f>
        <v>707867.3125</v>
      </c>
      <c r="G50" s="129" t="s">
        <v>983</v>
      </c>
    </row>
    <row r="51" ht="19.5" customHeight="1">
      <c r="B51" s="159">
        <v>3</v>
      </c>
      <c r="C51" s="43" t="s">
        <v>984</v>
      </c>
      <c r="E51" s="180">
        <v>0.05</v>
      </c>
      <c r="F51" s="161">
        <f>F18*E51</f>
        <v>141573.4625</v>
      </c>
      <c r="G51" s="123" t="s">
        <v>985</v>
      </c>
    </row>
    <row r="52" ht="19.5" customHeight="1">
      <c r="B52" s="163">
        <v>4</v>
      </c>
      <c r="C52" s="38" t="s">
        <v>986</v>
      </c>
      <c r="E52" s="181">
        <v>0.15</v>
      </c>
      <c r="F52" s="161">
        <f>F18*E52</f>
        <v>424720.3875</v>
      </c>
      <c r="G52" s="129" t="s">
        <v>987</v>
      </c>
    </row>
    <row r="53" ht="15" customHeight="1">
      <c r="B53" s="133" t="s">
        <v>988</v>
      </c>
      <c r="E53" s="182">
        <f t="shared" si="2" ref="E53:F53">SUM(E49:E52)</f>
        <v>1</v>
      </c>
      <c r="F53" s="134">
        <f t="shared" si="2"/>
        <v>2831469.25</v>
      </c>
      <c r="G53" s="136"/>
    </row>
    <row r="55" ht="18" customHeight="1">
      <c r="B55" s="183" t="s">
        <v>989</v>
      </c>
    </row>
    <row r="56" ht="16.5" customHeight="1">
      <c r="B56" s="152" t="s">
        <v>990</v>
      </c>
    </row>
    <row r="57" ht="16.5" customHeight="1">
      <c r="B57" s="152" t="s">
        <v>991</v>
      </c>
    </row>
    <row r="58" ht="16.5" customHeight="1">
      <c r="B58" s="152" t="s">
        <v>992</v>
      </c>
    </row>
    <row r="59" ht="16.5" customHeight="1">
      <c r="B59" s="152" t="s">
        <v>993</v>
      </c>
    </row>
    <row r="60" ht="16.5" customHeight="1">
      <c r="B60" s="152" t="s">
        <v>994</v>
      </c>
    </row>
    <row r="61" ht="16.5" customHeight="1">
      <c r="B61" s="152" t="s">
        <v>995</v>
      </c>
    </row>
    <row r="62" ht="16.5" customHeight="1">
      <c r="B62" s="152" t="s">
        <v>996</v>
      </c>
    </row>
  </sheetData>
  <mergeCells>
    <mergeCell ref="B1:H1"/>
    <mergeCell ref="B2:H2"/>
    <mergeCell ref="B3:C3"/>
    <mergeCell ref="G3:H3"/>
    <mergeCell ref="B4:C4"/>
    <mergeCell ref="D4:E4"/>
    <mergeCell ref="F4:H4"/>
    <mergeCell ref="B7:H7"/>
    <mergeCell ref="B18:E18"/>
    <mergeCell ref="B20:H20"/>
    <mergeCell ref="B26:E26"/>
    <mergeCell ref="B28:E28"/>
    <mergeCell ref="B30:H30"/>
    <mergeCell ref="B33:E33"/>
    <mergeCell ref="B35:E35"/>
    <mergeCell ref="B36:E36"/>
    <mergeCell ref="F36:H36"/>
    <mergeCell ref="B38:H38"/>
    <mergeCell ref="C39:E39"/>
    <mergeCell ref="G39:H39"/>
    <mergeCell ref="C40:E40"/>
    <mergeCell ref="G40:H40"/>
    <mergeCell ref="C41:E41"/>
    <mergeCell ref="G41:H41"/>
    <mergeCell ref="C42:E42"/>
    <mergeCell ref="G42:H42"/>
    <mergeCell ref="C43:E43"/>
    <mergeCell ref="G43:H43"/>
    <mergeCell ref="C44:E44"/>
    <mergeCell ref="G44:H44"/>
    <mergeCell ref="C45:E45"/>
    <mergeCell ref="G45:H45"/>
    <mergeCell ref="B47:H47"/>
    <mergeCell ref="C48:D48"/>
    <mergeCell ref="G48:H48"/>
    <mergeCell ref="C49:D49"/>
    <mergeCell ref="G49:H49"/>
    <mergeCell ref="C50:D50"/>
    <mergeCell ref="G50:H50"/>
    <mergeCell ref="C51:D51"/>
    <mergeCell ref="G51:H51"/>
    <mergeCell ref="C52:D52"/>
    <mergeCell ref="G52:H52"/>
    <mergeCell ref="B53:D53"/>
    <mergeCell ref="G53:H53"/>
    <mergeCell ref="B55:H55"/>
    <mergeCell ref="B56:H56"/>
    <mergeCell ref="B57:H57"/>
    <mergeCell ref="B58:H58"/>
    <mergeCell ref="B59:H59"/>
    <mergeCell ref="B60:H60"/>
    <mergeCell ref="B61:H61"/>
    <mergeCell ref="B62:H62"/>
  </mergeCells>
  <printOptions/>
  <pageMargins left="0.7" right="0.7" top="0.75" bottom="0.75" header="0.3" footer="0.3"/>
  <pageSetup paperSize="1" orientation="portrait"/>
  <headerFooter>
    <oddHeader>&amp;L&amp;C&amp;R</oddHeader>
    <oddFooter>&amp;L&amp;C&amp;R</oddFooter>
  </headerFooter>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06F9B48-9E68-01A8-69F3-D46DCD49802E}" mc:Ignorable="x14ac xr xr2 xr3">
  <dimension ref="A1:GR1000"/>
  <sheetViews>
    <sheetView topLeftCell="A1" workbookViewId="0">
      <pane ySplit="3" topLeftCell="A15" activePane="bottomLeft" state="frozen"/>
      <selection pane="bottomLeft" activeCell="A1" sqref="A1"/>
    </sheetView>
  </sheetViews>
  <sheetFormatPr defaultRowHeight="15" defaultColWidth="8.8515625" customHeight="1"/>
  <cols>
    <col min="1" max="1" width="0.421875" customWidth="1"/>
    <col min="2" max="2" width="22.8515625" customWidth="1"/>
    <col min="3" max="3" width="20.00390625" customWidth="1"/>
    <col min="4" max="4" width="4.28125" customWidth="1"/>
    <col min="5" max="5" width="22.8515625" customWidth="1"/>
    <col min="6" max="6" width="20.00390625" customWidth="1"/>
    <col min="7" max="7" width="4.28125" customWidth="1"/>
    <col min="8" max="8" width="22.8515625" customWidth="1"/>
    <col min="9" max="9" width="20.00390625" customWidth="1"/>
    <col min="10" max="10" width="4.28125" customWidth="1"/>
    <col min="11" max="12" width="17.140625" customWidth="1"/>
    <col min="13" max="14" width="14.28125" customWidth="1"/>
  </cols>
  <sheetData>
    <row r="1" ht="37.5" customHeight="1">
      <c r="B1" s="184" t="s">
        <v>997</v>
      </c>
    </row>
    <row r="2" ht="18.75" customHeight="1">
      <c r="B2" s="185" t="s">
        <v>998</v>
      </c>
    </row>
    <row r="4" ht="19.5" customHeight="1">
      <c r="B4" s="186" t="s">
        <v>999</v>
      </c>
      <c r="E4" s="187" t="s">
        <v>1000</v>
      </c>
      <c r="H4" s="188" t="s">
        <v>1001</v>
      </c>
    </row>
    <row r="5" ht="22.5" customHeight="1">
      <c r="B5" s="189">
        <f>Abstract!F35</f>
        <v>3617930.40075</v>
      </c>
      <c r="E5" s="190">
        <f>Abstract!F42</f>
        <v>2009.96133375</v>
      </c>
      <c r="H5" s="191">
        <f>Project_Info!C9</f>
        <v>1800</v>
      </c>
    </row>
    <row r="6" ht="22.5" customHeight="1"/>
    <row r="7" ht="22.5" customHeight="1"/>
    <row r="8" ht="19.5" customHeight="1">
      <c r="B8" s="186" t="s">
        <v>1002</v>
      </c>
      <c r="E8" s="187" t="s">
        <v>1003</v>
      </c>
      <c r="H8" s="188" t="s">
        <v>1004</v>
      </c>
    </row>
    <row r="9" ht="19.5" customHeight="1">
      <c r="B9" s="192">
        <f>Abstract!F18</f>
        <v>2831469.25</v>
      </c>
      <c r="E9" s="193">
        <f>Abstract!F33</f>
        <v>551887.68825</v>
      </c>
      <c r="H9" s="194">
        <f>BBS!G61</f>
        <v>6.17660036498152</v>
      </c>
    </row>
    <row r="10" ht="19.5" customHeight="1"/>
    <row r="11" ht="19.5" customHeight="1"/>
    <row r="13" ht="19.5" customHeight="1">
      <c r="B13" s="195" t="s">
        <v>1005</v>
      </c>
      <c r="H13" s="196" t="s">
        <v>1006</v>
      </c>
    </row>
    <row r="14" ht="18" customHeight="1">
      <c r="B14" s="197" t="s">
        <v>1007</v>
      </c>
      <c r="C14" s="197" t="s">
        <v>383</v>
      </c>
      <c r="D14" s="197"/>
      <c r="E14" s="197" t="s">
        <v>906</v>
      </c>
      <c r="H14" s="197" t="s">
        <v>978</v>
      </c>
      <c r="I14" s="197" t="s">
        <v>383</v>
      </c>
      <c r="J14" s="197"/>
      <c r="K14" s="197" t="s">
        <v>906</v>
      </c>
    </row>
    <row r="15" ht="16.5" customHeight="1">
      <c r="B15" s="198" t="s">
        <v>623</v>
      </c>
      <c r="C15" s="199"/>
      <c r="E15" s="200" t="e">
        <f t="shared" si="0" ref="E15:E24">C15/$C$25</f>
        <v>#DIV/0!</v>
      </c>
      <c r="H15" s="198" t="s">
        <v>1008</v>
      </c>
      <c r="I15" s="199">
        <f>Abstract!F49</f>
        <v>1557308.0875</v>
      </c>
      <c r="K15" s="200">
        <f t="shared" si="1" ref="K15:K18">I15/$I$19</f>
        <v>0.55</v>
      </c>
    </row>
    <row r="16" ht="16.5" customHeight="1">
      <c r="B16" s="201" t="s">
        <v>1009</v>
      </c>
      <c r="C16" s="202"/>
      <c r="E16" s="203" t="e">
        <f t="shared" si="0"/>
        <v>#DIV/0!</v>
      </c>
      <c r="H16" s="201" t="s">
        <v>1010</v>
      </c>
      <c r="I16" s="202">
        <f>Abstract!F50</f>
        <v>707867.3125</v>
      </c>
      <c r="K16" s="203">
        <f t="shared" si="1"/>
        <v>0.25</v>
      </c>
    </row>
    <row r="17" ht="16.5" customHeight="1">
      <c r="B17" s="198" t="s">
        <v>1011</v>
      </c>
      <c r="C17" s="199"/>
      <c r="E17" s="200" t="e">
        <f t="shared" si="0"/>
        <v>#DIV/0!</v>
      </c>
      <c r="H17" s="198" t="s">
        <v>1012</v>
      </c>
      <c r="I17" s="199">
        <f>Abstract!F51</f>
        <v>141573.4625</v>
      </c>
      <c r="K17" s="200">
        <f t="shared" si="1"/>
        <v>0.05</v>
      </c>
    </row>
    <row r="18" ht="16.5" customHeight="1">
      <c r="B18" s="201" t="s">
        <v>155</v>
      </c>
      <c r="C18" s="202"/>
      <c r="E18" s="203" t="e">
        <f t="shared" si="0"/>
        <v>#DIV/0!</v>
      </c>
      <c r="H18" s="201" t="s">
        <v>1013</v>
      </c>
      <c r="I18" s="202">
        <f>Abstract!F52</f>
        <v>424720.3875</v>
      </c>
      <c r="K18" s="203">
        <f t="shared" si="1"/>
        <v>0.15</v>
      </c>
    </row>
    <row r="19" ht="16.5" customHeight="1">
      <c r="B19" s="198" t="s">
        <v>629</v>
      </c>
      <c r="C19" s="199"/>
      <c r="E19" s="200" t="e">
        <f t="shared" si="0"/>
        <v>#DIV/0!</v>
      </c>
      <c r="H19" s="204" t="s">
        <v>988</v>
      </c>
      <c r="I19" s="205">
        <f t="shared" si="2" ref="I19:K19">SUM(I15:I18)</f>
        <v>2831469.25</v>
      </c>
      <c r="K19" s="206">
        <f t="shared" si="2"/>
        <v>1</v>
      </c>
    </row>
    <row r="20" ht="16.5" customHeight="1">
      <c r="B20" s="201" t="s">
        <v>1014</v>
      </c>
      <c r="C20" s="202"/>
      <c r="E20" s="203" t="e">
        <f t="shared" si="0"/>
        <v>#DIV/0!</v>
      </c>
    </row>
    <row r="21" ht="16.5" customHeight="1">
      <c r="B21" s="198" t="s">
        <v>635</v>
      </c>
      <c r="C21" s="199"/>
      <c r="E21" s="200" t="e">
        <f t="shared" si="0"/>
        <v>#DIV/0!</v>
      </c>
    </row>
    <row r="22" ht="16.5" customHeight="1">
      <c r="B22" s="201" t="s">
        <v>1015</v>
      </c>
      <c r="C22" s="202"/>
      <c r="E22" s="203" t="e">
        <f t="shared" si="0"/>
        <v>#DIV/0!</v>
      </c>
    </row>
    <row r="23" ht="16.5" customHeight="1">
      <c r="B23" s="198" t="s">
        <v>1016</v>
      </c>
      <c r="C23" s="199"/>
      <c r="E23" s="200" t="e">
        <f t="shared" si="0"/>
        <v>#DIV/0!</v>
      </c>
    </row>
    <row r="24" ht="16.5" customHeight="1">
      <c r="B24" s="201" t="s">
        <v>1017</v>
      </c>
      <c r="C24" s="202"/>
      <c r="E24" s="203" t="e">
        <f t="shared" si="0"/>
        <v>#DIV/0!</v>
      </c>
    </row>
    <row r="25" ht="15" customHeight="1">
      <c r="B25" s="204" t="s">
        <v>988</v>
      </c>
      <c r="C25" s="205"/>
      <c r="E25" s="206" t="e">
        <f>SUM(E15:E24)</f>
        <v>#DIV/0!</v>
      </c>
    </row>
    <row r="27" ht="21" customHeight="1">
      <c r="B27" s="207" t="s">
        <v>1018</v>
      </c>
    </row>
    <row r="28" ht="27" customHeight="1">
      <c r="B28" s="208" t="s">
        <v>1019</v>
      </c>
      <c r="C28" s="208" t="s">
        <v>1020</v>
      </c>
      <c r="D28" s="208" t="s">
        <v>1021</v>
      </c>
      <c r="E28" s="208" t="s">
        <v>1022</v>
      </c>
      <c r="F28" s="208" t="s">
        <v>1023</v>
      </c>
      <c r="G28" s="208" t="s">
        <v>1024</v>
      </c>
      <c r="H28" s="208" t="s">
        <v>1025</v>
      </c>
      <c r="I28" s="208" t="s">
        <v>1026</v>
      </c>
      <c r="J28" s="208" t="s">
        <v>1027</v>
      </c>
    </row>
    <row r="29" ht="19.5" customHeight="1">
      <c r="B29" s="209" t="s">
        <v>1028</v>
      </c>
      <c r="C29" s="210">
        <v>0</v>
      </c>
      <c r="D29" s="210">
        <v>0</v>
      </c>
      <c r="E29" s="210">
        <v>0</v>
      </c>
      <c r="F29" s="211">
        <v>0</v>
      </c>
      <c r="G29" s="211">
        <f>Abstract!F18</f>
        <v>2831469.25</v>
      </c>
      <c r="H29" s="211">
        <f t="shared" si="3" ref="H29:H34">G29*0.18</f>
        <v>509664.465</v>
      </c>
      <c r="I29" s="211">
        <f>Abstract!F35</f>
        <v>3617930.40075</v>
      </c>
      <c r="J29" s="212" t="s">
        <v>1029</v>
      </c>
    </row>
    <row r="30" ht="19.5" customHeight="1">
      <c r="B30" s="213" t="s">
        <v>1030</v>
      </c>
      <c r="C30" s="214">
        <v>0.05</v>
      </c>
      <c r="D30" s="214">
        <v>0.05</v>
      </c>
      <c r="E30" s="214">
        <v>0.05</v>
      </c>
      <c r="F30" s="215">
        <f>Abstract!F18*0.55*((C30+D30+E30)/3)</f>
        <v>77865.404375</v>
      </c>
      <c r="G30" s="215">
        <f>Abstract!F18+F30</f>
        <v>2909334.654375</v>
      </c>
      <c r="H30" s="215">
        <f t="shared" si="3"/>
        <v>523680.2377875</v>
      </c>
      <c r="I30" s="215">
        <f>G30+H30+Abstract!F26</f>
        <v>3667588.3546625</v>
      </c>
      <c r="J30" s="216">
        <f>I30-I29</f>
        <v>49657.9539124998</v>
      </c>
    </row>
    <row r="31" ht="19.5" customHeight="1">
      <c r="B31" s="209" t="s">
        <v>1031</v>
      </c>
      <c r="C31" s="210">
        <v>0.1</v>
      </c>
      <c r="D31" s="210">
        <v>0.1</v>
      </c>
      <c r="E31" s="210">
        <v>0.1</v>
      </c>
      <c r="F31" s="211">
        <f>Abstract!F18*0.55*((C31+D31+E31)/3)</f>
        <v>155730.80875</v>
      </c>
      <c r="G31" s="211">
        <f>Abstract!F18+F31</f>
        <v>2987200.05875</v>
      </c>
      <c r="H31" s="211">
        <f t="shared" si="3"/>
        <v>537696.010575</v>
      </c>
      <c r="I31" s="211">
        <f>G31+H31+Abstract!F26</f>
        <v>3759469.531825</v>
      </c>
      <c r="J31" s="217">
        <f>I31-I29</f>
        <v>141539.131075</v>
      </c>
    </row>
    <row r="32" ht="19.5" customHeight="1">
      <c r="B32" s="213" t="s">
        <v>1032</v>
      </c>
      <c r="C32" s="214">
        <v>0.15</v>
      </c>
      <c r="D32" s="214">
        <v>0.2</v>
      </c>
      <c r="E32" s="214">
        <v>0.1</v>
      </c>
      <c r="F32" s="215">
        <f>Abstract!F18*0.55*((C32+D32+E32)/3)</f>
        <v>233596.213125</v>
      </c>
      <c r="G32" s="215">
        <f>Abstract!F18+F32</f>
        <v>3065065.463125</v>
      </c>
      <c r="H32" s="215">
        <f t="shared" si="3"/>
        <v>551711.7833625</v>
      </c>
      <c r="I32" s="215">
        <f>G32+H32+Abstract!F26</f>
        <v>3851350.7089875</v>
      </c>
      <c r="J32" s="216">
        <f>I32-I29</f>
        <v>233420.3082375</v>
      </c>
    </row>
    <row r="33" ht="19.5" customHeight="1">
      <c r="B33" s="209" t="s">
        <v>1033</v>
      </c>
      <c r="C33" s="210">
        <v>0.25</v>
      </c>
      <c r="D33" s="210">
        <v>0.3</v>
      </c>
      <c r="E33" s="210">
        <v>0.2</v>
      </c>
      <c r="F33" s="211">
        <f>Abstract!F18*0.55*((C33+D33+E33)/3)</f>
        <v>389327.021875</v>
      </c>
      <c r="G33" s="211">
        <f>Abstract!F18+F33</f>
        <v>3220796.271875</v>
      </c>
      <c r="H33" s="211">
        <f t="shared" si="3"/>
        <v>579743.3289375</v>
      </c>
      <c r="I33" s="211">
        <f>G33+H33+Abstract!F26</f>
        <v>4035113.0633125</v>
      </c>
      <c r="J33" s="217">
        <f>I33-I29</f>
        <v>417182.6625625</v>
      </c>
    </row>
    <row r="34" ht="19.5" customHeight="1">
      <c r="B34" s="213" t="s">
        <v>1034</v>
      </c>
      <c r="C34" s="214">
        <v>-0.05</v>
      </c>
      <c r="D34" s="214">
        <v>-0.05</v>
      </c>
      <c r="E34" s="214">
        <v>-0.05</v>
      </c>
      <c r="F34" s="215">
        <f>Abstract!F18*0.55*((C34+D34+E34)/3)</f>
        <v>-77865.404375</v>
      </c>
      <c r="G34" s="215">
        <f>Abstract!F18+F34</f>
        <v>2753603.845625</v>
      </c>
      <c r="H34" s="215">
        <f t="shared" si="3"/>
        <v>495648.6922125</v>
      </c>
      <c r="I34" s="215">
        <f>G34+H34+Abstract!F26</f>
        <v>3483826.0003375</v>
      </c>
      <c r="J34" s="216">
        <f>I34-I29</f>
        <v>-134104.4004125</v>
      </c>
    </row>
    <row r="37" ht="21" customHeight="1">
      <c r="B37" s="207" t="s">
        <v>1035</v>
      </c>
    </row>
    <row r="38" ht="19.5" customHeight="1">
      <c r="B38" s="208" t="s">
        <v>1036</v>
      </c>
      <c r="C38" s="208" t="s">
        <v>1037</v>
      </c>
      <c r="D38" s="208" t="s">
        <v>1038</v>
      </c>
      <c r="E38" s="208" t="s">
        <v>1039</v>
      </c>
      <c r="F38" s="208" t="s">
        <v>1040</v>
      </c>
      <c r="G38" s="208" t="s">
        <v>1041</v>
      </c>
      <c r="H38" s="208" t="s">
        <v>1042</v>
      </c>
    </row>
    <row r="39" ht="19.5" customHeight="1">
      <c r="B39" s="218">
        <v>1</v>
      </c>
      <c r="C39" s="219" t="s">
        <v>1043</v>
      </c>
      <c r="D39" s="220">
        <v>0.1</v>
      </c>
      <c r="E39" s="221">
        <f>Abstract!F35*D39</f>
        <v>361793.040075</v>
      </c>
      <c r="F39" s="221">
        <f>E39</f>
        <v>361793.040075</v>
      </c>
      <c r="G39" s="210">
        <f>F39/Abstract!F35</f>
        <v>0.1</v>
      </c>
      <c r="H39" s="222" t="s">
        <v>1044</v>
      </c>
    </row>
    <row r="40" ht="19.5" customHeight="1">
      <c r="B40" s="223">
        <v>2</v>
      </c>
      <c r="C40" s="224" t="s">
        <v>1045</v>
      </c>
      <c r="D40" s="225">
        <v>0.1</v>
      </c>
      <c r="E40" s="226">
        <f>Abstract!F35*D40</f>
        <v>361793.040075</v>
      </c>
      <c r="F40" s="226">
        <f t="shared" si="4" ref="F40:F46">F39+E40</f>
        <v>723586.08015</v>
      </c>
      <c r="G40" s="214">
        <f>F40/Abstract!F35</f>
        <v>0.2</v>
      </c>
      <c r="H40" s="227" t="s">
        <v>1046</v>
      </c>
    </row>
    <row r="41" ht="19.5" customHeight="1">
      <c r="B41" s="218">
        <v>3</v>
      </c>
      <c r="C41" s="219" t="s">
        <v>1047</v>
      </c>
      <c r="D41" s="220">
        <v>0.15</v>
      </c>
      <c r="E41" s="221">
        <f>Abstract!F35*D41</f>
        <v>542689.5601125</v>
      </c>
      <c r="F41" s="221">
        <f t="shared" si="4"/>
        <v>1266275.6402625</v>
      </c>
      <c r="G41" s="210">
        <f>F41/Abstract!F35</f>
        <v>0.35</v>
      </c>
      <c r="H41" s="222" t="s">
        <v>1048</v>
      </c>
    </row>
    <row r="42" ht="19.5" customHeight="1">
      <c r="B42" s="223">
        <v>4</v>
      </c>
      <c r="C42" s="224" t="s">
        <v>1049</v>
      </c>
      <c r="D42" s="225">
        <v>0.12</v>
      </c>
      <c r="E42" s="226">
        <f>Abstract!F35*D42</f>
        <v>434151.64809</v>
      </c>
      <c r="F42" s="226">
        <f t="shared" si="4"/>
        <v>1700427.2883525</v>
      </c>
      <c r="G42" s="214">
        <f>F42/Abstract!F35</f>
        <v>0.47</v>
      </c>
      <c r="H42" s="227" t="s">
        <v>1050</v>
      </c>
    </row>
    <row r="43" ht="19.5" customHeight="1">
      <c r="B43" s="218">
        <v>5</v>
      </c>
      <c r="C43" s="219" t="s">
        <v>1051</v>
      </c>
      <c r="D43" s="220">
        <v>0.13</v>
      </c>
      <c r="E43" s="221">
        <f>Abstract!F35*D43</f>
        <v>470330.9520975</v>
      </c>
      <c r="F43" s="221">
        <f t="shared" si="4"/>
        <v>2170758.24045</v>
      </c>
      <c r="G43" s="210">
        <f>F43/Abstract!F35</f>
        <v>0.6</v>
      </c>
      <c r="H43" s="222" t="s">
        <v>1052</v>
      </c>
    </row>
    <row r="44" ht="19.5" customHeight="1">
      <c r="B44" s="223">
        <v>6</v>
      </c>
      <c r="C44" s="224" t="s">
        <v>1053</v>
      </c>
      <c r="D44" s="225">
        <v>0.12</v>
      </c>
      <c r="E44" s="226">
        <f>Abstract!F35*D44</f>
        <v>434151.64809</v>
      </c>
      <c r="F44" s="226">
        <f t="shared" si="4"/>
        <v>2604909.88854</v>
      </c>
      <c r="G44" s="214">
        <f>F44/Abstract!F35</f>
        <v>0.72</v>
      </c>
      <c r="H44" s="227" t="s">
        <v>1054</v>
      </c>
    </row>
    <row r="45" ht="19.5" customHeight="1">
      <c r="B45" s="218">
        <v>7</v>
      </c>
      <c r="C45" s="219" t="s">
        <v>927</v>
      </c>
      <c r="D45" s="220">
        <v>0.13</v>
      </c>
      <c r="E45" s="221">
        <f>Abstract!F35*D45</f>
        <v>470330.9520975</v>
      </c>
      <c r="F45" s="221">
        <f t="shared" si="4"/>
        <v>3075240.8406375</v>
      </c>
      <c r="G45" s="210">
        <f>F45/Abstract!F35</f>
        <v>0.85</v>
      </c>
      <c r="H45" s="222" t="s">
        <v>1055</v>
      </c>
    </row>
    <row r="46" ht="19.5" customHeight="1">
      <c r="B46" s="223">
        <v>8</v>
      </c>
      <c r="C46" s="224" t="s">
        <v>1056</v>
      </c>
      <c r="D46" s="225">
        <v>0.15</v>
      </c>
      <c r="E46" s="226">
        <f>Abstract!F35*D46</f>
        <v>542689.5601125</v>
      </c>
      <c r="F46" s="226">
        <f t="shared" si="4"/>
        <v>3617930.40075</v>
      </c>
      <c r="G46" s="214">
        <f>F46/Abstract!F35</f>
        <v>1</v>
      </c>
      <c r="H46" s="227" t="s">
        <v>1057</v>
      </c>
    </row>
    <row r="48" ht="21" customHeight="1">
      <c r="B48" s="228" t="s">
        <v>1058</v>
      </c>
    </row>
    <row r="49" ht="19.5" customHeight="1">
      <c r="B49" s="208" t="s">
        <v>1059</v>
      </c>
      <c r="C49" s="208" t="s">
        <v>1060</v>
      </c>
      <c r="D49" s="208" t="s">
        <v>1061</v>
      </c>
      <c r="E49" s="208" t="s">
        <v>1062</v>
      </c>
      <c r="F49" s="208" t="s">
        <v>1063</v>
      </c>
      <c r="G49" s="208" t="s">
        <v>1064</v>
      </c>
      <c r="H49" s="208" t="s">
        <v>1065</v>
      </c>
    </row>
    <row r="50" ht="24" customHeight="1">
      <c r="B50" s="229" t="s">
        <v>1066</v>
      </c>
      <c r="C50" s="230" t="s">
        <v>1067</v>
      </c>
      <c r="D50" s="231" t="s">
        <v>1068</v>
      </c>
      <c r="E50" s="231" t="s">
        <v>1068</v>
      </c>
      <c r="F50" s="232">
        <v>9</v>
      </c>
      <c r="G50" s="230" t="s">
        <v>1069</v>
      </c>
      <c r="H50" s="233" t="s">
        <v>1070</v>
      </c>
    </row>
    <row r="51" ht="24" customHeight="1">
      <c r="B51" s="229" t="s">
        <v>1071</v>
      </c>
      <c r="C51" s="230" t="s">
        <v>1072</v>
      </c>
      <c r="D51" s="234" t="s">
        <v>1073</v>
      </c>
      <c r="E51" s="231" t="s">
        <v>1068</v>
      </c>
      <c r="F51" s="235">
        <v>6</v>
      </c>
      <c r="G51" s="230" t="s">
        <v>1074</v>
      </c>
      <c r="H51" s="233" t="s">
        <v>1075</v>
      </c>
    </row>
    <row r="52" ht="24" customHeight="1">
      <c r="B52" s="229" t="s">
        <v>1076</v>
      </c>
      <c r="C52" s="230" t="s">
        <v>1077</v>
      </c>
      <c r="D52" s="234" t="s">
        <v>1073</v>
      </c>
      <c r="E52" s="234" t="s">
        <v>1073</v>
      </c>
      <c r="F52" s="235">
        <v>4</v>
      </c>
      <c r="G52" s="230" t="s">
        <v>1078</v>
      </c>
      <c r="H52" s="233" t="s">
        <v>1079</v>
      </c>
    </row>
    <row r="53" ht="24" customHeight="1">
      <c r="B53" s="229" t="s">
        <v>1080</v>
      </c>
      <c r="C53" s="230" t="s">
        <v>1081</v>
      </c>
      <c r="D53" s="234" t="s">
        <v>1073</v>
      </c>
      <c r="E53" s="231" t="s">
        <v>1068</v>
      </c>
      <c r="F53" s="235">
        <v>6</v>
      </c>
      <c r="G53" s="230" t="s">
        <v>1082</v>
      </c>
      <c r="H53" s="233" t="s">
        <v>1083</v>
      </c>
    </row>
    <row r="54" ht="24" customHeight="1">
      <c r="B54" s="229" t="s">
        <v>1084</v>
      </c>
      <c r="C54" s="230" t="s">
        <v>1085</v>
      </c>
      <c r="D54" s="236" t="s">
        <v>1086</v>
      </c>
      <c r="E54" s="231" t="s">
        <v>1068</v>
      </c>
      <c r="F54" s="237">
        <v>3</v>
      </c>
      <c r="G54" s="230" t="s">
        <v>1087</v>
      </c>
      <c r="H54" s="233" t="s">
        <v>1088</v>
      </c>
    </row>
    <row r="55" ht="24" customHeight="1">
      <c r="B55" s="229" t="s">
        <v>1089</v>
      </c>
      <c r="C55" s="230" t="s">
        <v>1090</v>
      </c>
      <c r="D55" s="236" t="s">
        <v>1086</v>
      </c>
      <c r="E55" s="231" t="s">
        <v>1068</v>
      </c>
      <c r="F55" s="237">
        <v>3</v>
      </c>
      <c r="G55" s="230" t="s">
        <v>1091</v>
      </c>
      <c r="H55" s="233" t="s">
        <v>1092</v>
      </c>
    </row>
    <row r="57" ht="24" customHeight="1">
      <c r="B57" s="238" t="s">
        <v>1093</v>
      </c>
    </row>
    <row r="58" ht="22.5" customHeight="1">
      <c r="B58" s="239" t="s">
        <v>1094</v>
      </c>
    </row>
    <row r="59" ht="22.5" customHeight="1"/>
    <row r="60" ht="22.5" customHeight="1"/>
    <row r="61" ht="22.5" customHeight="1"/>
    <row r="62" ht="22.5" customHeight="1"/>
    <row r="63" ht="16.5" customHeight="1">
      <c r="B63" s="240" t="s">
        <v>1095</v>
      </c>
    </row>
  </sheetData>
  <mergeCells>
    <mergeCell ref="B1:N1"/>
    <mergeCell ref="B2:N2"/>
    <mergeCell ref="B4:C4"/>
    <mergeCell ref="B5:C7"/>
    <mergeCell ref="E4:F4"/>
    <mergeCell ref="E5:F7"/>
    <mergeCell ref="H4:I4"/>
    <mergeCell ref="H5:I7"/>
    <mergeCell ref="B8:C8"/>
    <mergeCell ref="B9:C11"/>
    <mergeCell ref="E8:F8"/>
    <mergeCell ref="E9:F11"/>
    <mergeCell ref="H8:I8"/>
    <mergeCell ref="H9:I11"/>
    <mergeCell ref="B13:F13"/>
    <mergeCell ref="H13:N13"/>
    <mergeCell ref="B27:N27"/>
    <mergeCell ref="J28:N28"/>
    <mergeCell ref="J29:N29"/>
    <mergeCell ref="J30:N30"/>
    <mergeCell ref="J31:N31"/>
    <mergeCell ref="J32:N32"/>
    <mergeCell ref="J33:N33"/>
    <mergeCell ref="J34:N34"/>
    <mergeCell ref="B37:N37"/>
    <mergeCell ref="H38:N38"/>
    <mergeCell ref="H39:N39"/>
    <mergeCell ref="H40:N40"/>
    <mergeCell ref="H41:N41"/>
    <mergeCell ref="H42:N42"/>
    <mergeCell ref="H43:N43"/>
    <mergeCell ref="H44:N44"/>
    <mergeCell ref="H45:N45"/>
    <mergeCell ref="H46:N46"/>
    <mergeCell ref="B48:N48"/>
    <mergeCell ref="H49:N49"/>
    <mergeCell ref="H50:N50"/>
    <mergeCell ref="H51:N51"/>
    <mergeCell ref="H52:N52"/>
    <mergeCell ref="H53:N53"/>
    <mergeCell ref="H54:N54"/>
    <mergeCell ref="H55:N55"/>
    <mergeCell ref="B57:N57"/>
    <mergeCell ref="B58:N62"/>
    <mergeCell ref="B63:N63"/>
  </mergeCells>
  <printOptions/>
  <pageMargins left="0.7" right="0.7" top="0.75" bottom="0.75" header="0.3" footer="0.3"/>
  <pageSetup paperSize="1" orientation="portrait"/>
  <headerFooter>
    <oddHeader>&amp;L&amp;C&amp;R</oddHeader>
    <oddFooter>&amp;L&amp;C&amp;R</oddFooter>
  </headerFooter>
  <drawing r:id="rId1"/>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3AF6F018-B3C8-E188-1CF8-E8EDC4D74EE8}" mc:Ignorable="x14ac xr xr2 xr3">
  <dimension ref="A1:GR1000"/>
  <sheetViews>
    <sheetView topLeftCell="A1" workbookViewId="0">
      <selection activeCell="A1" sqref="A1"/>
    </sheetView>
  </sheetViews>
  <sheetFormatPr defaultRowHeight="15" defaultColWidth="8.8515625" customHeight="1"/>
  <cols>
    <col min="1" max="1" width="4.28125" customWidth="1"/>
    <col min="2" max="2" width="8.57421875" customWidth="1"/>
    <col min="3" max="3" width="28.57421875" customWidth="1"/>
    <col min="4" max="4" width="74.28125" customWidth="1"/>
    <col min="5" max="5" width="21.421875" customWidth="1"/>
  </cols>
  <sheetData>
    <row r="1" ht="30" customHeight="1">
      <c r="B1" s="241" t="s">
        <v>1096</v>
      </c>
    </row>
    <row r="2" ht="16.5" customHeight="1">
      <c r="B2" s="242" t="str">
        <f>("Construction Estimator India | Effective Date: "&amp;TEXT(TODAY(),"DD-MMM-YYYY")&amp;" | Valid for 30 days")</f>
        <v>Construction Estimator India | Effective Date: 27-May-2026 | Valid for 30 days</v>
      </c>
    </row>
    <row r="4" ht="22.5" customHeight="1">
      <c r="B4" s="243" t="s">
        <v>169</v>
      </c>
      <c r="C4" s="243" t="s">
        <v>619</v>
      </c>
      <c r="D4" s="243" t="s">
        <v>1098</v>
      </c>
      <c r="E4" s="243" t="s">
        <v>1099</v>
      </c>
    </row>
    <row r="5" ht="18.75" customHeight="1">
      <c r="B5" s="244" t="s">
        <v>1100</v>
      </c>
    </row>
    <row r="6" ht="31.5" customHeight="1">
      <c r="B6" s="160">
        <v>1.1</v>
      </c>
      <c r="C6" s="245" t="s">
        <v>1101</v>
      </c>
      <c r="D6" s="246" t="s">
        <v>1102</v>
      </c>
      <c r="E6" s="247" t="s">
        <v>1103</v>
      </c>
    </row>
    <row r="7" ht="31.5" customHeight="1">
      <c r="B7" s="164">
        <v>1.2</v>
      </c>
      <c r="C7" s="248" t="s">
        <v>1104</v>
      </c>
      <c r="D7" s="249" t="s">
        <v>1105</v>
      </c>
      <c r="E7" s="250" t="s">
        <v>141</v>
      </c>
    </row>
    <row r="8" ht="31.5" customHeight="1">
      <c r="B8" s="160">
        <v>1.3</v>
      </c>
      <c r="C8" s="245" t="s">
        <v>1106</v>
      </c>
      <c r="D8" s="246" t="s">
        <v>1107</v>
      </c>
      <c r="E8" s="247" t="s">
        <v>1108</v>
      </c>
    </row>
    <row r="9" ht="31.5" customHeight="1">
      <c r="B9" s="164">
        <v>1.4</v>
      </c>
      <c r="C9" s="248" t="s">
        <v>1109</v>
      </c>
      <c r="D9" s="249" t="s">
        <v>1110</v>
      </c>
      <c r="E9" s="250" t="s">
        <v>1111</v>
      </c>
    </row>
    <row r="10" ht="31.5" customHeight="1">
      <c r="B10" s="160">
        <v>1.5</v>
      </c>
      <c r="C10" s="245" t="s">
        <v>1112</v>
      </c>
      <c r="D10" s="246" t="s">
        <v>1113</v>
      </c>
      <c r="E10" s="247" t="s">
        <v>1114</v>
      </c>
    </row>
    <row r="11" ht="18.75" customHeight="1">
      <c r="B11" s="244" t="s">
        <v>1115</v>
      </c>
    </row>
    <row r="12" ht="31.5" customHeight="1">
      <c r="B12" s="160">
        <v>2.1</v>
      </c>
      <c r="C12" s="245" t="s">
        <v>142</v>
      </c>
      <c r="D12" s="246" t="s">
        <v>1116</v>
      </c>
      <c r="E12" s="247" t="s">
        <v>141</v>
      </c>
    </row>
    <row r="13" ht="31.5" customHeight="1">
      <c r="B13" s="164">
        <v>2.2</v>
      </c>
      <c r="C13" s="248" t="s">
        <v>1117</v>
      </c>
      <c r="D13" s="249" t="s">
        <v>1118</v>
      </c>
      <c r="E13" s="250" t="s">
        <v>1119</v>
      </c>
    </row>
    <row r="14" ht="31.5" customHeight="1">
      <c r="B14" s="160">
        <v>2.3</v>
      </c>
      <c r="C14" s="245" t="s">
        <v>1120</v>
      </c>
      <c r="D14" s="246" t="s">
        <v>1121</v>
      </c>
      <c r="E14" s="247" t="s">
        <v>1122</v>
      </c>
    </row>
    <row r="15" ht="31.5" customHeight="1">
      <c r="B15" s="164">
        <v>2.4</v>
      </c>
      <c r="C15" s="248" t="s">
        <v>1123</v>
      </c>
      <c r="D15" s="249" t="s">
        <v>1124</v>
      </c>
      <c r="E15" s="250" t="s">
        <v>1125</v>
      </c>
    </row>
    <row r="16" ht="31.5" customHeight="1">
      <c r="B16" s="160">
        <v>2.5</v>
      </c>
      <c r="C16" s="245" t="s">
        <v>1126</v>
      </c>
      <c r="D16" s="246" t="s">
        <v>1127</v>
      </c>
      <c r="E16" s="247" t="s">
        <v>1128</v>
      </c>
    </row>
    <row r="17" ht="18.75" customHeight="1">
      <c r="B17" s="244" t="s">
        <v>1129</v>
      </c>
    </row>
    <row r="18" ht="31.5" customHeight="1">
      <c r="B18" s="160">
        <v>3.1</v>
      </c>
      <c r="C18" s="245" t="s">
        <v>1130</v>
      </c>
      <c r="D18" s="246" t="s">
        <v>1131</v>
      </c>
      <c r="E18" s="247" t="s">
        <v>1132</v>
      </c>
    </row>
    <row r="19" ht="31.5" customHeight="1">
      <c r="B19" s="164">
        <v>3.2</v>
      </c>
      <c r="C19" s="248" t="s">
        <v>1133</v>
      </c>
      <c r="D19" s="249" t="s">
        <v>1134</v>
      </c>
      <c r="E19" s="250" t="s">
        <v>1135</v>
      </c>
    </row>
    <row r="20" ht="31.5" customHeight="1">
      <c r="B20" s="160">
        <v>3.3</v>
      </c>
      <c r="C20" s="245" t="s">
        <v>1136</v>
      </c>
      <c r="D20" s="246" t="s">
        <v>1137</v>
      </c>
      <c r="E20" s="247" t="s">
        <v>1138</v>
      </c>
    </row>
    <row r="21" ht="31.5" customHeight="1">
      <c r="B21" s="164">
        <v>3.4</v>
      </c>
      <c r="C21" s="248" t="s">
        <v>1139</v>
      </c>
      <c r="D21" s="249" t="s">
        <v>1140</v>
      </c>
      <c r="E21" s="250" t="s">
        <v>1141</v>
      </c>
    </row>
    <row r="22" ht="31.5" customHeight="1">
      <c r="B22" s="160">
        <v>3.5</v>
      </c>
      <c r="C22" s="245" t="s">
        <v>1142</v>
      </c>
      <c r="D22" s="246" t="s">
        <v>1143</v>
      </c>
      <c r="E22" s="247" t="s">
        <v>1144</v>
      </c>
    </row>
    <row r="23" ht="18.75" customHeight="1">
      <c r="B23" s="244" t="s">
        <v>1145</v>
      </c>
    </row>
    <row r="24" ht="31.5" customHeight="1">
      <c r="B24" s="160">
        <v>4.1</v>
      </c>
      <c r="C24" s="245" t="s">
        <v>1146</v>
      </c>
      <c r="D24" s="246" t="s">
        <v>1147</v>
      </c>
      <c r="E24" s="247" t="s">
        <v>1148</v>
      </c>
    </row>
    <row r="25" ht="31.5" customHeight="1">
      <c r="B25" s="164">
        <v>4.2</v>
      </c>
      <c r="C25" s="248" t="s">
        <v>1149</v>
      </c>
      <c r="D25" s="249" t="s">
        <v>1150</v>
      </c>
      <c r="E25" s="250" t="s">
        <v>1151</v>
      </c>
    </row>
    <row r="26" ht="31.5" customHeight="1">
      <c r="B26" s="160">
        <v>4.3</v>
      </c>
      <c r="C26" s="245" t="s">
        <v>1152</v>
      </c>
      <c r="D26" s="246" t="s">
        <v>1153</v>
      </c>
      <c r="E26" s="247" t="s">
        <v>1154</v>
      </c>
    </row>
    <row r="27" ht="31.5" customHeight="1">
      <c r="B27" s="164">
        <v>4.4</v>
      </c>
      <c r="C27" s="248" t="s">
        <v>1155</v>
      </c>
      <c r="D27" s="249" t="s">
        <v>1156</v>
      </c>
      <c r="E27" s="250" t="s">
        <v>1157</v>
      </c>
    </row>
    <row r="28" ht="18.75" customHeight="1">
      <c r="B28" s="244" t="s">
        <v>1158</v>
      </c>
    </row>
    <row r="29" ht="31.5" customHeight="1">
      <c r="B29" s="160">
        <v>5.1</v>
      </c>
      <c r="C29" s="245" t="s">
        <v>1159</v>
      </c>
      <c r="D29" s="246" t="s">
        <v>1160</v>
      </c>
      <c r="E29" s="247" t="s">
        <v>1161</v>
      </c>
    </row>
    <row r="30" ht="31.5" customHeight="1">
      <c r="B30" s="164">
        <v>5.2</v>
      </c>
      <c r="C30" s="248" t="s">
        <v>1162</v>
      </c>
      <c r="D30" s="249" t="s">
        <v>1163</v>
      </c>
      <c r="E30" s="250" t="s">
        <v>1164</v>
      </c>
    </row>
    <row r="31" ht="31.5" customHeight="1">
      <c r="B31" s="160">
        <v>5.3</v>
      </c>
      <c r="C31" s="245" t="s">
        <v>1165</v>
      </c>
      <c r="D31" s="246" t="s">
        <v>1166</v>
      </c>
      <c r="E31" s="247" t="s">
        <v>1167</v>
      </c>
    </row>
    <row r="32" ht="31.5" customHeight="1">
      <c r="B32" s="164">
        <v>5.4</v>
      </c>
      <c r="C32" s="248" t="s">
        <v>1168</v>
      </c>
      <c r="D32" s="249" t="s">
        <v>1169</v>
      </c>
      <c r="E32" s="250" t="s">
        <v>1170</v>
      </c>
    </row>
    <row r="33" ht="31.5" customHeight="1">
      <c r="B33" s="160">
        <v>5.5</v>
      </c>
      <c r="C33" s="245" t="s">
        <v>1171</v>
      </c>
      <c r="D33" s="246" t="s">
        <v>1172</v>
      </c>
      <c r="E33" s="247" t="s">
        <v>1173</v>
      </c>
    </row>
    <row r="34" ht="18.75" customHeight="1">
      <c r="B34" s="244" t="s">
        <v>1174</v>
      </c>
    </row>
    <row r="35" ht="31.5" customHeight="1">
      <c r="B35" s="160">
        <v>6.1</v>
      </c>
      <c r="C35" s="245" t="s">
        <v>1175</v>
      </c>
      <c r="D35" s="246" t="s">
        <v>1176</v>
      </c>
      <c r="E35" s="247" t="s">
        <v>1177</v>
      </c>
    </row>
    <row r="36" ht="31.5" customHeight="1">
      <c r="B36" s="164">
        <v>6.2</v>
      </c>
      <c r="C36" s="248" t="s">
        <v>1178</v>
      </c>
      <c r="D36" s="249" t="s">
        <v>1179</v>
      </c>
      <c r="E36" s="250" t="s">
        <v>1180</v>
      </c>
    </row>
    <row r="37" ht="31.5" customHeight="1">
      <c r="B37" s="160">
        <v>6.3</v>
      </c>
      <c r="C37" s="245" t="s">
        <v>1181</v>
      </c>
      <c r="D37" s="246" t="s">
        <v>1182</v>
      </c>
      <c r="E37" s="247" t="s">
        <v>1183</v>
      </c>
    </row>
    <row r="38" ht="31.5" customHeight="1">
      <c r="B38" s="164">
        <v>6.4</v>
      </c>
      <c r="C38" s="248" t="s">
        <v>1184</v>
      </c>
      <c r="D38" s="249" t="s">
        <v>1185</v>
      </c>
      <c r="E38" s="250" t="s">
        <v>1186</v>
      </c>
    </row>
    <row r="39" ht="18.75" customHeight="1">
      <c r="B39" s="244" t="s">
        <v>1187</v>
      </c>
    </row>
    <row r="40" ht="31.5" customHeight="1">
      <c r="B40" s="160">
        <v>7.1</v>
      </c>
      <c r="C40" s="245" t="s">
        <v>1188</v>
      </c>
      <c r="D40" s="246" t="s">
        <v>1189</v>
      </c>
      <c r="E40" s="247" t="s">
        <v>1190</v>
      </c>
    </row>
    <row r="41" ht="31.5" customHeight="1">
      <c r="B41" s="164">
        <v>7.2</v>
      </c>
      <c r="C41" s="248" t="s">
        <v>1191</v>
      </c>
      <c r="D41" s="249" t="s">
        <v>1192</v>
      </c>
      <c r="E41" s="250" t="s">
        <v>1193</v>
      </c>
    </row>
    <row r="42" ht="31.5" customHeight="1">
      <c r="B42" s="160">
        <v>7.3</v>
      </c>
      <c r="C42" s="245" t="s">
        <v>1194</v>
      </c>
      <c r="D42" s="246" t="s">
        <v>1195</v>
      </c>
      <c r="E42" s="247" t="s">
        <v>1196</v>
      </c>
    </row>
    <row r="43" ht="18.75" customHeight="1">
      <c r="B43" s="251" t="s">
        <v>1197</v>
      </c>
    </row>
    <row r="44" ht="31.5" customHeight="1">
      <c r="B44" s="160">
        <v>8.1</v>
      </c>
      <c r="C44" s="245" t="s">
        <v>1198</v>
      </c>
      <c r="D44" s="246" t="s">
        <v>1199</v>
      </c>
      <c r="E44" s="247" t="s">
        <v>1200</v>
      </c>
    </row>
    <row r="45" ht="31.5" customHeight="1">
      <c r="B45" s="164">
        <v>8.2</v>
      </c>
      <c r="C45" s="248" t="s">
        <v>1201</v>
      </c>
      <c r="D45" s="249" t="s">
        <v>1202</v>
      </c>
      <c r="E45" s="250" t="s">
        <v>1200</v>
      </c>
    </row>
    <row r="46" ht="31.5" customHeight="1">
      <c r="B46" s="160">
        <v>8.3</v>
      </c>
      <c r="C46" s="245" t="s">
        <v>1203</v>
      </c>
      <c r="D46" s="246" t="s">
        <v>1204</v>
      </c>
      <c r="E46" s="247" t="s">
        <v>1200</v>
      </c>
    </row>
    <row r="47" ht="31.5" customHeight="1">
      <c r="B47" s="164">
        <v>8.4</v>
      </c>
      <c r="C47" s="248" t="s">
        <v>1205</v>
      </c>
      <c r="D47" s="249" t="s">
        <v>1206</v>
      </c>
      <c r="E47" s="250" t="s">
        <v>1200</v>
      </c>
    </row>
    <row r="48" ht="31.5" customHeight="1">
      <c r="B48" s="160">
        <v>8.5</v>
      </c>
      <c r="C48" s="245" t="s">
        <v>1207</v>
      </c>
      <c r="D48" s="246" t="s">
        <v>1208</v>
      </c>
      <c r="E48" s="247" t="s">
        <v>1200</v>
      </c>
    </row>
    <row r="49" ht="31.5" customHeight="1">
      <c r="B49" s="164">
        <v>8.6</v>
      </c>
      <c r="C49" s="248" t="s">
        <v>1209</v>
      </c>
      <c r="D49" s="249" t="s">
        <v>1210</v>
      </c>
      <c r="E49" s="250" t="s">
        <v>1200</v>
      </c>
    </row>
    <row r="51" ht="22.5" customHeight="1">
      <c r="B51" s="252" t="s">
        <v>1211</v>
      </c>
    </row>
    <row r="53" ht="15" customHeight="1">
      <c r="B53" s="253" t="s">
        <v>1212</v>
      </c>
      <c r="D53" s="253" t="s">
        <v>1213</v>
      </c>
    </row>
    <row r="54" ht="26.25" customHeight="1">
      <c r="B54" s="254"/>
      <c r="D54" s="254"/>
    </row>
    <row r="55" ht="26.25" customHeight="1"/>
    <row r="56" ht="15" customHeight="1">
      <c r="B56" s="255" t="s">
        <v>1214</v>
      </c>
      <c r="D56" s="255" t="s">
        <v>1214</v>
      </c>
    </row>
    <row r="57" ht="15" customHeight="1">
      <c r="B57" s="255" t="s">
        <v>1215</v>
      </c>
      <c r="D57" s="256" t="s">
        <v>1216</v>
      </c>
    </row>
    <row r="59" ht="16.5" customHeight="1">
      <c r="B59" s="257" t="s">
        <v>1217</v>
      </c>
    </row>
  </sheetData>
  <mergeCells>
    <mergeCell ref="B1:E1"/>
    <mergeCell ref="B2:E2"/>
    <mergeCell ref="B5:E5"/>
    <mergeCell ref="B11:E11"/>
    <mergeCell ref="B17:E17"/>
    <mergeCell ref="B23:E23"/>
    <mergeCell ref="B28:E28"/>
    <mergeCell ref="B34:E34"/>
    <mergeCell ref="B39:E39"/>
    <mergeCell ref="B43:E43"/>
    <mergeCell ref="B51:E51"/>
    <mergeCell ref="B53:C53"/>
    <mergeCell ref="D53:E53"/>
    <mergeCell ref="B54:C55"/>
    <mergeCell ref="D54:E55"/>
    <mergeCell ref="B56:C56"/>
    <mergeCell ref="D56:E56"/>
    <mergeCell ref="B57:C57"/>
    <mergeCell ref="D57:E57"/>
    <mergeCell ref="B59:E59"/>
  </mergeCells>
  <printOptions/>
  <pageMargins left="0.7" right="0.7" top="0.75" bottom="0.75" header="0.3" footer="0.3"/>
  <pageSetup paperSize="1" orientation="portrait"/>
  <headerFooter>
    <oddHeader>&amp;L&amp;C&amp;R</oddHeader>
    <oddFooter>&amp;L&amp;C&amp;R</oddFooter>
  </headerFooter>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C40BE6D8-16D4-4961-AFD8-E54D0477FE78}" mc:Ignorable="x14ac xr xr2 xr3">
  <dimension ref="A1:GR1000"/>
  <sheetViews>
    <sheetView topLeftCell="A1" workbookViewId="0" tabSelected="1">
      <pane ySplit="4" topLeftCell="A5" activePane="bottomLeft" state="frozen"/>
      <selection pane="bottomLeft" activeCell="B29" sqref="B29:G29"/>
    </sheetView>
  </sheetViews>
  <sheetFormatPr defaultRowHeight="15" defaultColWidth="8.8515625" customHeight="1"/>
  <cols>
    <col min="1" max="1" width="4.28125" customWidth="1"/>
    <col min="2" max="2" width="12.8515625" customWidth="1"/>
    <col min="3" max="3" width="15.00390625" customWidth="1"/>
    <col min="4" max="4" width="19.28125" customWidth="1"/>
    <col min="5" max="5" width="17.140625" customWidth="1"/>
    <col min="6" max="6" width="45.00390625" customWidth="1"/>
    <col min="7" max="7" width="15.00390625" customWidth="1"/>
  </cols>
  <sheetData>
    <row r="1" ht="30" customHeight="1">
      <c r="B1" s="241" t="s">
        <v>1218</v>
      </c>
    </row>
    <row r="2" ht="16.5" customHeight="1">
      <c r="B2" s="242" t="s">
        <v>1219</v>
      </c>
    </row>
    <row r="4" ht="24" customHeight="1">
      <c r="B4" s="243" t="s">
        <v>1220</v>
      </c>
      <c r="C4" s="243" t="s">
        <v>1221</v>
      </c>
      <c r="D4" s="243" t="s">
        <v>1222</v>
      </c>
      <c r="E4" s="243" t="s">
        <v>1223</v>
      </c>
      <c r="F4" s="243" t="s">
        <v>1224</v>
      </c>
      <c r="G4" s="243" t="s">
        <v>1225</v>
      </c>
    </row>
    <row r="5" ht="31.5" customHeight="1">
      <c r="B5" s="117" t="s">
        <v>33</v>
      </c>
      <c r="C5" s="258" t="s">
        <v>181</v>
      </c>
      <c r="D5" s="258" t="s">
        <v>1226</v>
      </c>
      <c r="E5" s="258" t="s">
        <v>1227</v>
      </c>
      <c r="F5" s="259" t="s">
        <v>1228</v>
      </c>
      <c r="G5" s="260" t="s">
        <v>1229</v>
      </c>
    </row>
    <row r="6" ht="31.5" customHeight="1">
      <c r="B6" s="124" t="s">
        <v>1066</v>
      </c>
      <c r="C6" s="261" t="s">
        <v>1230</v>
      </c>
      <c r="D6" s="261" t="s">
        <v>1226</v>
      </c>
      <c r="E6" s="261" t="s">
        <v>1227</v>
      </c>
      <c r="F6" s="262" t="s">
        <v>1231</v>
      </c>
      <c r="G6" s="263" t="s">
        <v>44</v>
      </c>
    </row>
    <row r="7" ht="31.5" customHeight="1">
      <c r="B7" s="117" t="s">
        <v>1071</v>
      </c>
      <c r="C7" s="258" t="s">
        <v>940</v>
      </c>
      <c r="D7" s="258" t="s">
        <v>940</v>
      </c>
      <c r="E7" s="258" t="s">
        <v>940</v>
      </c>
      <c r="F7" s="259" t="s">
        <v>1232</v>
      </c>
      <c r="G7" s="264" t="s">
        <v>1233</v>
      </c>
    </row>
    <row r="8" ht="31.5" customHeight="1">
      <c r="B8" s="124" t="s">
        <v>1076</v>
      </c>
      <c r="C8" s="261" t="s">
        <v>940</v>
      </c>
      <c r="D8" s="261" t="s">
        <v>940</v>
      </c>
      <c r="E8" s="261" t="s">
        <v>940</v>
      </c>
      <c r="F8" s="262" t="s">
        <v>1234</v>
      </c>
      <c r="G8" s="264" t="s">
        <v>1233</v>
      </c>
    </row>
    <row r="9" ht="31.5" customHeight="1">
      <c r="B9" s="117" t="s">
        <v>1080</v>
      </c>
      <c r="C9" s="258" t="s">
        <v>940</v>
      </c>
      <c r="D9" s="258" t="s">
        <v>940</v>
      </c>
      <c r="E9" s="258" t="s">
        <v>940</v>
      </c>
      <c r="F9" s="259" t="s">
        <v>1235</v>
      </c>
      <c r="G9" s="264" t="s">
        <v>1233</v>
      </c>
    </row>
    <row r="11" ht="19.5" customHeight="1">
      <c r="B11" s="265" t="s">
        <v>1236</v>
      </c>
    </row>
    <row r="12" ht="18" customHeight="1">
      <c r="B12" s="116" t="s">
        <v>1237</v>
      </c>
      <c r="D12" s="116" t="s">
        <v>1238</v>
      </c>
    </row>
    <row r="13" ht="27" customHeight="1">
      <c r="B13" s="266" t="s">
        <v>1239</v>
      </c>
      <c r="D13" s="259" t="s">
        <v>1240</v>
      </c>
    </row>
    <row r="14" ht="27" customHeight="1">
      <c r="B14" s="266" t="s">
        <v>1241</v>
      </c>
      <c r="D14" s="259" t="s">
        <v>1242</v>
      </c>
    </row>
    <row r="15" ht="27" customHeight="1">
      <c r="B15" s="266" t="s">
        <v>1243</v>
      </c>
      <c r="D15" s="259" t="s">
        <v>1244</v>
      </c>
    </row>
    <row r="16" ht="27" customHeight="1">
      <c r="B16" s="266" t="s">
        <v>778</v>
      </c>
      <c r="D16" s="259" t="s">
        <v>1245</v>
      </c>
    </row>
    <row r="17" ht="27" customHeight="1">
      <c r="B17" s="266" t="s">
        <v>536</v>
      </c>
      <c r="D17" s="259" t="s">
        <v>1246</v>
      </c>
    </row>
    <row r="18" ht="27" customHeight="1">
      <c r="B18" s="266" t="s">
        <v>1247</v>
      </c>
      <c r="D18" s="259" t="s">
        <v>1248</v>
      </c>
    </row>
    <row r="20" ht="19.5" customHeight="1">
      <c r="B20" s="267" t="s">
        <v>1249</v>
      </c>
    </row>
    <row r="21" ht="18" customHeight="1">
      <c r="B21" s="116" t="s">
        <v>1225</v>
      </c>
      <c r="C21" s="116" t="s">
        <v>620</v>
      </c>
    </row>
    <row r="22" ht="19.5" customHeight="1">
      <c r="B22" s="263" t="s">
        <v>44</v>
      </c>
      <c r="C22" s="259" t="s">
        <v>1250</v>
      </c>
    </row>
    <row r="23" ht="19.5" customHeight="1">
      <c r="B23" s="260" t="s">
        <v>1229</v>
      </c>
      <c r="C23" s="259" t="s">
        <v>1251</v>
      </c>
    </row>
    <row r="24" ht="19.5" customHeight="1">
      <c r="B24" s="268" t="s">
        <v>1252</v>
      </c>
      <c r="C24" s="259" t="s">
        <v>1253</v>
      </c>
    </row>
    <row r="25" ht="19.5" customHeight="1">
      <c r="B25" s="269" t="s">
        <v>1254</v>
      </c>
      <c r="C25" s="259" t="s">
        <v>1255</v>
      </c>
    </row>
    <row r="26" ht="19.5" customHeight="1">
      <c r="B26" s="264" t="s">
        <v>1233</v>
      </c>
      <c r="C26" s="259" t="s">
        <v>1256</v>
      </c>
    </row>
    <row r="27" ht="19.5" customHeight="1">
      <c r="B27" s="270" t="s">
        <v>1257</v>
      </c>
      <c r="C27" s="259" t="s">
        <v>1258</v>
      </c>
    </row>
    <row r="29" ht="19.5" customHeight="1">
      <c r="B29" s="267" t="s">
        <v>1259</v>
      </c>
    </row>
    <row r="30" ht="21" customHeight="1">
      <c r="B30" s="266" t="s">
        <v>1260</v>
      </c>
      <c r="D30" s="159" t="s">
        <v>40</v>
      </c>
    </row>
    <row r="31" ht="21" customHeight="1">
      <c r="B31" s="266" t="s">
        <v>1261</v>
      </c>
      <c r="D31" s="159" t="str">
        <f>B6</f>
        <v>R1</v>
      </c>
    </row>
    <row r="32" ht="21" customHeight="1">
      <c r="B32" s="266" t="s">
        <v>1262</v>
      </c>
      <c r="D32" s="159" t="str">
        <f>G6</f>
        <v>DRAFT</v>
      </c>
    </row>
    <row r="33" ht="21" customHeight="1">
      <c r="B33" s="266" t="s">
        <v>1263</v>
      </c>
      <c r="D33" s="271">
        <f>Abstract!F35</f>
        <v>3617930.40075</v>
      </c>
    </row>
    <row r="34" ht="21" customHeight="1">
      <c r="B34" s="266" t="s">
        <v>1264</v>
      </c>
      <c r="D34" s="159" t="s">
        <v>1265</v>
      </c>
    </row>
    <row r="35" ht="21" customHeight="1">
      <c r="B35" s="266" t="s">
        <v>1266</v>
      </c>
      <c r="D35" s="159" t="str">
        <f>TEXT(TODAY(),"DD-MMM-YYYY")</f>
        <v>27-May-2026</v>
      </c>
    </row>
    <row r="36" ht="21" customHeight="1">
      <c r="B36" s="266" t="s">
        <v>1267</v>
      </c>
      <c r="D36" s="159" t="str">
        <f>TEXT(TODAY()+30,"DD-MMM-YYYY")</f>
        <v>26-Jun-2026</v>
      </c>
    </row>
    <row r="38" ht="19.5" customHeight="1">
      <c r="B38" s="265" t="s">
        <v>1269</v>
      </c>
    </row>
    <row r="39" ht="18" customHeight="1">
      <c r="B39" s="152" t="s">
        <v>1270</v>
      </c>
    </row>
    <row r="40" ht="18" customHeight="1">
      <c r="B40" s="152" t="s">
        <v>1271</v>
      </c>
    </row>
    <row r="41" ht="18" customHeight="1">
      <c r="B41" s="152" t="s">
        <v>1272</v>
      </c>
    </row>
    <row r="42" ht="18" customHeight="1">
      <c r="B42" s="152" t="s">
        <v>1273</v>
      </c>
    </row>
    <row r="43" ht="18" customHeight="1">
      <c r="B43" s="152" t="s">
        <v>1274</v>
      </c>
    </row>
    <row r="44" ht="18" customHeight="1">
      <c r="B44" s="152" t="s">
        <v>1275</v>
      </c>
    </row>
    <row r="45" ht="18" customHeight="1">
      <c r="B45" s="152" t="s">
        <v>1276</v>
      </c>
    </row>
    <row r="46" ht="18" customHeight="1">
      <c r="B46" s="152" t="s">
        <v>1277</v>
      </c>
    </row>
    <row r="48" ht="16.5" customHeight="1">
      <c r="B48" s="257" t="s">
        <v>1278</v>
      </c>
    </row>
  </sheetData>
  <mergeCells>
    <mergeCell ref="B1:G1"/>
    <mergeCell ref="B2:G2"/>
    <mergeCell ref="B11:G11"/>
    <mergeCell ref="B12:C12"/>
    <mergeCell ref="D12:G12"/>
    <mergeCell ref="B13:C13"/>
    <mergeCell ref="D13:G13"/>
    <mergeCell ref="B14:C14"/>
    <mergeCell ref="D14:G14"/>
    <mergeCell ref="B15:C15"/>
    <mergeCell ref="D15:G15"/>
    <mergeCell ref="B16:C16"/>
    <mergeCell ref="D16:G16"/>
    <mergeCell ref="B17:C17"/>
    <mergeCell ref="D17:G17"/>
    <mergeCell ref="B18:C18"/>
    <mergeCell ref="D18:G18"/>
    <mergeCell ref="B20:G20"/>
    <mergeCell ref="C21:G21"/>
    <mergeCell ref="C22:G22"/>
    <mergeCell ref="C23:G23"/>
    <mergeCell ref="C24:G24"/>
    <mergeCell ref="C25:G25"/>
    <mergeCell ref="C26:G26"/>
    <mergeCell ref="C27:G27"/>
    <mergeCell ref="B29:G29"/>
    <mergeCell ref="B30:C30"/>
    <mergeCell ref="D30:G30"/>
    <mergeCell ref="B31:C31"/>
    <mergeCell ref="D31:G31"/>
    <mergeCell ref="B32:C32"/>
    <mergeCell ref="D32:G32"/>
    <mergeCell ref="B33:C33"/>
    <mergeCell ref="D33:G33"/>
    <mergeCell ref="B34:C34"/>
    <mergeCell ref="D34:G34"/>
    <mergeCell ref="B35:C35"/>
    <mergeCell ref="D35:G35"/>
    <mergeCell ref="B36:C36"/>
    <mergeCell ref="D36:G36"/>
    <mergeCell ref="B38:G38"/>
    <mergeCell ref="B39:G39"/>
    <mergeCell ref="B40:G40"/>
    <mergeCell ref="B41:G41"/>
    <mergeCell ref="B42:G42"/>
    <mergeCell ref="B43:G43"/>
    <mergeCell ref="B44:G44"/>
    <mergeCell ref="B45:G45"/>
    <mergeCell ref="B46:G46"/>
    <mergeCell ref="B48:G48"/>
  </mergeCells>
  <printOptions/>
  <pageMargins left="0.7" right="0.7" top="0.75" bottom="0.75" header="0.3" footer="0.3"/>
  <pageSetup paperSize="1" orientation="portrait"/>
  <headerFooter>
    <oddHeader>&amp;L&amp;C&amp;R</oddHeader>
    <oddFooter>&amp;L&amp;C&amp;R</oddFooter>
  </headerFooter>
  <extLst/>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2026-05-27T04:09:17Z</dcterms:created>
</cp:coreProperties>
</file>